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ohn martin\Documents\mobile impact 2016\"/>
    </mc:Choice>
  </mc:AlternateContent>
  <xr:revisionPtr revIDLastSave="0" documentId="13_ncr:1_{29093C1A-DBFD-465B-AD06-F7347AD60DAC}" xr6:coauthVersionLast="47" xr6:coauthVersionMax="47" xr10:uidLastSave="{00000000-0000-0000-0000-000000000000}"/>
  <bookViews>
    <workbookView xWindow="-90" yWindow="-90" windowWidth="19380" windowHeight="10380" tabRatio="625" xr2:uid="{00000000-000D-0000-FFFF-FFFF00000000}"/>
  </bookViews>
  <sheets>
    <sheet name="Title" sheetId="5" r:id="rId1"/>
    <sheet name="Benefits Metrics " sheetId="1" r:id="rId2"/>
    <sheet name="YARD EXPANSION" sheetId="2" r:id="rId3"/>
    <sheet name="BENEFIT COST CALCULATIONS" sheetId="4" r:id="rId4"/>
    <sheet name="COST SCHEDULE" sheetId="1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7" i="2" l="1"/>
  <c r="M118" i="2"/>
  <c r="M119" i="2"/>
  <c r="M120" i="2"/>
  <c r="M116" i="2"/>
  <c r="K113" i="2"/>
  <c r="K111" i="2"/>
  <c r="K98" i="2"/>
  <c r="K97" i="2"/>
  <c r="K86" i="2"/>
  <c r="K85" i="2"/>
  <c r="K73" i="2"/>
  <c r="K72" i="2"/>
  <c r="K71" i="2"/>
  <c r="S28" i="2"/>
  <c r="C35" i="2"/>
  <c r="A25" i="16" l="1"/>
  <c r="D13" i="4" s="1"/>
  <c r="Z22" i="16"/>
  <c r="V22" i="16"/>
  <c r="R22" i="16"/>
  <c r="N22" i="16"/>
  <c r="J22" i="16"/>
  <c r="F22" i="16"/>
  <c r="E22" i="16"/>
  <c r="AC20" i="16"/>
  <c r="AB20" i="16"/>
  <c r="AA20" i="16"/>
  <c r="Z20" i="16"/>
  <c r="Y20" i="16"/>
  <c r="X20" i="16"/>
  <c r="W20" i="16"/>
  <c r="V20" i="16"/>
  <c r="U20" i="16"/>
  <c r="T20" i="16"/>
  <c r="S20" i="16"/>
  <c r="R20" i="16"/>
  <c r="Q20" i="16"/>
  <c r="P20" i="16"/>
  <c r="O20" i="16"/>
  <c r="N20" i="16"/>
  <c r="M20" i="16"/>
  <c r="L20" i="16"/>
  <c r="K20" i="16"/>
  <c r="J20" i="16"/>
  <c r="I20" i="16"/>
  <c r="AC12" i="16"/>
  <c r="AC22" i="16" s="1"/>
  <c r="AB12" i="16"/>
  <c r="AB22" i="16" s="1"/>
  <c r="AA12" i="16"/>
  <c r="AA22" i="16" s="1"/>
  <c r="Z12" i="16"/>
  <c r="Y12" i="16"/>
  <c r="Y22" i="16" s="1"/>
  <c r="X12" i="16"/>
  <c r="X22" i="16" s="1"/>
  <c r="W12" i="16"/>
  <c r="W22" i="16" s="1"/>
  <c r="V12" i="16"/>
  <c r="U12" i="16"/>
  <c r="U22" i="16" s="1"/>
  <c r="T12" i="16"/>
  <c r="T22" i="16" s="1"/>
  <c r="S12" i="16"/>
  <c r="S22" i="16" s="1"/>
  <c r="R12" i="16"/>
  <c r="Q12" i="16"/>
  <c r="Q22" i="16" s="1"/>
  <c r="P12" i="16"/>
  <c r="P22" i="16" s="1"/>
  <c r="O12" i="16"/>
  <c r="O22" i="16" s="1"/>
  <c r="N12" i="16"/>
  <c r="M12" i="16"/>
  <c r="M22" i="16" s="1"/>
  <c r="L12" i="16"/>
  <c r="L22" i="16" s="1"/>
  <c r="K12" i="16"/>
  <c r="K22" i="16" s="1"/>
  <c r="J12" i="16"/>
  <c r="I12" i="16"/>
  <c r="I22" i="16" s="1"/>
  <c r="H12" i="16"/>
  <c r="H22" i="16" s="1"/>
  <c r="G12" i="16"/>
  <c r="G22" i="16" s="1"/>
  <c r="L64" i="2" l="1"/>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AP64" i="2"/>
  <c r="L65" i="2"/>
  <c r="M65" i="2"/>
  <c r="N65" i="2"/>
  <c r="O65" i="2"/>
  <c r="P65" i="2"/>
  <c r="Q65" i="2"/>
  <c r="R65" i="2"/>
  <c r="S65" i="2"/>
  <c r="T65" i="2"/>
  <c r="U65" i="2"/>
  <c r="V65" i="2"/>
  <c r="W65" i="2"/>
  <c r="X65" i="2"/>
  <c r="Y65" i="2"/>
  <c r="Z65" i="2"/>
  <c r="AA65" i="2"/>
  <c r="AB65" i="2"/>
  <c r="AC65" i="2"/>
  <c r="AD65" i="2"/>
  <c r="AE65" i="2"/>
  <c r="AF65" i="2"/>
  <c r="AG65" i="2"/>
  <c r="AH65" i="2"/>
  <c r="AI65" i="2"/>
  <c r="AJ65" i="2"/>
  <c r="AK65" i="2"/>
  <c r="AL65" i="2"/>
  <c r="AM65" i="2"/>
  <c r="AN65" i="2"/>
  <c r="AO65" i="2"/>
  <c r="AP65" i="2"/>
  <c r="L66" i="2"/>
  <c r="M66" i="2"/>
  <c r="N66" i="2"/>
  <c r="O66" i="2"/>
  <c r="P66" i="2"/>
  <c r="Q66" i="2"/>
  <c r="R66" i="2"/>
  <c r="S66" i="2"/>
  <c r="T66" i="2"/>
  <c r="U66" i="2"/>
  <c r="V66" i="2"/>
  <c r="W66" i="2"/>
  <c r="X66" i="2"/>
  <c r="Y66" i="2"/>
  <c r="Z66" i="2"/>
  <c r="AA66" i="2"/>
  <c r="AB66" i="2"/>
  <c r="AC66" i="2"/>
  <c r="AD66" i="2"/>
  <c r="AE66" i="2"/>
  <c r="AF66" i="2"/>
  <c r="AG66" i="2"/>
  <c r="AH66" i="2"/>
  <c r="AI66" i="2"/>
  <c r="AJ66" i="2"/>
  <c r="AK66" i="2"/>
  <c r="AL66" i="2"/>
  <c r="AM66" i="2"/>
  <c r="AN66" i="2"/>
  <c r="AO66" i="2"/>
  <c r="AP66"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D110" i="2" l="1"/>
  <c r="G110" i="1"/>
  <c r="I96" i="1"/>
  <c r="G76" i="1"/>
  <c r="G59" i="1"/>
  <c r="I27" i="1"/>
  <c r="I26" i="1"/>
  <c r="I25" i="1"/>
  <c r="I24" i="1"/>
  <c r="AA23" i="1"/>
  <c r="X7" i="1"/>
  <c r="X8" i="1" s="1"/>
  <c r="X9" i="1" s="1"/>
  <c r="X10" i="1" s="1"/>
  <c r="X11" i="1" s="1"/>
  <c r="X12" i="1" s="1"/>
  <c r="X13" i="1" s="1"/>
  <c r="M10" i="1" s="1"/>
  <c r="M11" i="1" s="1"/>
  <c r="M12" i="1" s="1"/>
  <c r="M13" i="1" s="1"/>
  <c r="M14" i="1" s="1"/>
  <c r="M15" i="1" s="1"/>
  <c r="M16" i="1" s="1"/>
  <c r="M17" i="1" s="1"/>
  <c r="X6" i="1"/>
  <c r="X5" i="1"/>
  <c r="R28" i="2"/>
  <c r="AG24" i="2" l="1"/>
  <c r="AH24" i="2" s="1"/>
  <c r="AI24" i="2" s="1"/>
  <c r="AJ24" i="2" s="1"/>
  <c r="AK24" i="2" s="1"/>
  <c r="AL24" i="2" s="1"/>
  <c r="AM24" i="2" s="1"/>
  <c r="AN24" i="2" s="1"/>
  <c r="AO24" i="2" s="1"/>
  <c r="AP24" i="2" s="1"/>
  <c r="AF24" i="2"/>
  <c r="R27" i="2"/>
  <c r="S27" i="2"/>
  <c r="T27" i="2"/>
  <c r="U27" i="2"/>
  <c r="V27" i="2"/>
  <c r="W27" i="2"/>
  <c r="X27" i="2"/>
  <c r="Y27" i="2"/>
  <c r="Z27" i="2"/>
  <c r="AA27" i="2"/>
  <c r="AB27" i="2"/>
  <c r="AC27" i="2"/>
  <c r="AD27" i="2"/>
  <c r="AE27" i="2"/>
  <c r="T36" i="2" l="1"/>
  <c r="U36" i="2"/>
  <c r="V36" i="2"/>
  <c r="W36" i="2"/>
  <c r="X36" i="2"/>
  <c r="Y36" i="2"/>
  <c r="Z36" i="2"/>
  <c r="AA36" i="2"/>
  <c r="AB36" i="2"/>
  <c r="AC36" i="2"/>
  <c r="AD36" i="2"/>
  <c r="AE36" i="2"/>
  <c r="AI36" i="2"/>
  <c r="AM36" i="2"/>
  <c r="S36" i="2"/>
  <c r="R36" i="2"/>
  <c r="D40" i="2"/>
  <c r="D39" i="2"/>
  <c r="D38" i="2"/>
  <c r="O27" i="2"/>
  <c r="AF27" i="2"/>
  <c r="AF36" i="2" s="1"/>
  <c r="AG27" i="2"/>
  <c r="AG36" i="2" s="1"/>
  <c r="AH27" i="2"/>
  <c r="AH36" i="2" s="1"/>
  <c r="AI27" i="2"/>
  <c r="AJ27" i="2"/>
  <c r="AJ36" i="2" s="1"/>
  <c r="AK27" i="2"/>
  <c r="AK36" i="2" s="1"/>
  <c r="AL27" i="2"/>
  <c r="AL36" i="2" s="1"/>
  <c r="AM27" i="2"/>
  <c r="AN27" i="2"/>
  <c r="AN36" i="2" s="1"/>
  <c r="AO27" i="2"/>
  <c r="AO36" i="2" s="1"/>
  <c r="AP27" i="2"/>
  <c r="AP36" i="2" s="1"/>
  <c r="D43" i="2"/>
  <c r="F111" i="2" l="1"/>
  <c r="F110" i="2"/>
  <c r="B4" i="4"/>
  <c r="C4" i="4"/>
  <c r="B5" i="4"/>
  <c r="B6" i="4"/>
  <c r="B7" i="4"/>
  <c r="B8" i="4"/>
  <c r="B9" i="4"/>
  <c r="C11" i="2"/>
  <c r="C5" i="2"/>
  <c r="E11" i="2" l="1"/>
  <c r="C38" i="2"/>
  <c r="O36" i="2" l="1"/>
  <c r="C39" i="2" l="1"/>
  <c r="N32" i="2" l="1"/>
  <c r="N37" i="2" l="1"/>
  <c r="S32" i="2"/>
  <c r="S42" i="2" s="1"/>
  <c r="O32" i="2"/>
  <c r="O42" i="2" s="1"/>
  <c r="P27" i="2"/>
  <c r="P36" i="2" s="1"/>
  <c r="O37" i="2"/>
  <c r="O43" i="2" s="1"/>
  <c r="P32" i="2" l="1"/>
  <c r="P42" i="2" s="1"/>
  <c r="Q27" i="2"/>
  <c r="P37" i="2"/>
  <c r="P43" i="2" s="1"/>
  <c r="Q36" i="2" l="1"/>
  <c r="Q32" i="2"/>
  <c r="Q42" i="2" s="1"/>
  <c r="Q37" i="2"/>
  <c r="Q43" i="2" s="1"/>
  <c r="M104" i="2"/>
  <c r="M108" i="2" s="1"/>
  <c r="L104" i="2"/>
  <c r="L108" i="2" s="1"/>
  <c r="M36" i="2"/>
  <c r="L36" i="2"/>
  <c r="L34" i="2"/>
  <c r="L45" i="2" s="1"/>
  <c r="M26" i="2"/>
  <c r="N26" i="2" s="1"/>
  <c r="O26" i="2" s="1"/>
  <c r="P26" i="2" s="1"/>
  <c r="Q26" i="2" s="1"/>
  <c r="R26" i="2" s="1"/>
  <c r="S26" i="2" s="1"/>
  <c r="T26" i="2" s="1"/>
  <c r="U26" i="2" s="1"/>
  <c r="V26" i="2" s="1"/>
  <c r="W26" i="2" s="1"/>
  <c r="X26" i="2" s="1"/>
  <c r="Y26" i="2" s="1"/>
  <c r="Z26" i="2" s="1"/>
  <c r="AA26" i="2" s="1"/>
  <c r="AB26" i="2" s="1"/>
  <c r="AC26" i="2" s="1"/>
  <c r="AD26" i="2" s="1"/>
  <c r="AE26" i="2" s="1"/>
  <c r="AF26" i="2" s="1"/>
  <c r="AG26" i="2" s="1"/>
  <c r="AH26" i="2" s="1"/>
  <c r="AI26" i="2" s="1"/>
  <c r="AJ26" i="2" s="1"/>
  <c r="AK26" i="2" s="1"/>
  <c r="AL26" i="2" s="1"/>
  <c r="AM26" i="2" s="1"/>
  <c r="AN26" i="2" s="1"/>
  <c r="AO26" i="2" s="1"/>
  <c r="AP26" i="2" s="1"/>
  <c r="AP31" i="2" s="1"/>
  <c r="AP34" i="2" s="1"/>
  <c r="AP45" i="2" s="1"/>
  <c r="R32" i="2" l="1"/>
  <c r="R37" i="2"/>
  <c r="R31" i="2"/>
  <c r="R34" i="2" s="1"/>
  <c r="R45" i="2" s="1"/>
  <c r="AH31" i="2"/>
  <c r="AH34" i="2" s="1"/>
  <c r="AH45" i="2" s="1"/>
  <c r="V31" i="2"/>
  <c r="V34" i="2" s="1"/>
  <c r="V45" i="2" s="1"/>
  <c r="AL31" i="2"/>
  <c r="AL34" i="2" s="1"/>
  <c r="AL45" i="2" s="1"/>
  <c r="N31" i="2"/>
  <c r="N34" i="2" s="1"/>
  <c r="N45" i="2" s="1"/>
  <c r="AD31" i="2"/>
  <c r="AD34" i="2" s="1"/>
  <c r="AD45" i="2" s="1"/>
  <c r="Z31" i="2"/>
  <c r="Z34" i="2" s="1"/>
  <c r="Z45" i="2" s="1"/>
  <c r="O31" i="2"/>
  <c r="O34" i="2" s="1"/>
  <c r="O45" i="2" s="1"/>
  <c r="S31" i="2"/>
  <c r="S34" i="2" s="1"/>
  <c r="S45" i="2" s="1"/>
  <c r="W31" i="2"/>
  <c r="W34" i="2" s="1"/>
  <c r="W45" i="2" s="1"/>
  <c r="AA31" i="2"/>
  <c r="AA34" i="2" s="1"/>
  <c r="AA45" i="2" s="1"/>
  <c r="AE31" i="2"/>
  <c r="AE34" i="2" s="1"/>
  <c r="AE45" i="2" s="1"/>
  <c r="AI31" i="2"/>
  <c r="AI34" i="2" s="1"/>
  <c r="AI45" i="2" s="1"/>
  <c r="AM31" i="2"/>
  <c r="AM34" i="2" s="1"/>
  <c r="AM45" i="2" s="1"/>
  <c r="P31" i="2"/>
  <c r="P34" i="2" s="1"/>
  <c r="P45" i="2" s="1"/>
  <c r="T31" i="2"/>
  <c r="T34" i="2" s="1"/>
  <c r="T45" i="2" s="1"/>
  <c r="X31" i="2"/>
  <c r="X34" i="2" s="1"/>
  <c r="X45" i="2" s="1"/>
  <c r="AB31" i="2"/>
  <c r="AB34" i="2" s="1"/>
  <c r="AB45" i="2" s="1"/>
  <c r="AF31" i="2"/>
  <c r="AF34" i="2" s="1"/>
  <c r="AF45" i="2" s="1"/>
  <c r="AJ31" i="2"/>
  <c r="AJ34" i="2" s="1"/>
  <c r="AJ45" i="2" s="1"/>
  <c r="AN31" i="2"/>
  <c r="AN34" i="2" s="1"/>
  <c r="AN45" i="2" s="1"/>
  <c r="M31" i="2"/>
  <c r="M34" i="2" s="1"/>
  <c r="M45" i="2" s="1"/>
  <c r="Q31" i="2"/>
  <c r="Q34" i="2" s="1"/>
  <c r="Q45" i="2" s="1"/>
  <c r="U31" i="2"/>
  <c r="U34" i="2" s="1"/>
  <c r="U45" i="2" s="1"/>
  <c r="Y31" i="2"/>
  <c r="Y34" i="2" s="1"/>
  <c r="Y45" i="2" s="1"/>
  <c r="AC31" i="2"/>
  <c r="AC34" i="2" s="1"/>
  <c r="AC45" i="2" s="1"/>
  <c r="AG31" i="2"/>
  <c r="AG34" i="2" s="1"/>
  <c r="AG45" i="2" s="1"/>
  <c r="AK31" i="2"/>
  <c r="AK34" i="2" s="1"/>
  <c r="AK45" i="2" s="1"/>
  <c r="AO31" i="2"/>
  <c r="AO34" i="2" s="1"/>
  <c r="AO45" i="2" s="1"/>
  <c r="S37" i="2" l="1"/>
  <c r="S43" i="2" s="1"/>
  <c r="M37" i="2"/>
  <c r="Q104" i="2"/>
  <c r="Q106" i="2" s="1"/>
  <c r="M43" i="2"/>
  <c r="M105" i="2"/>
  <c r="L43" i="2"/>
  <c r="L105" i="2"/>
  <c r="L37" i="2"/>
  <c r="P78" i="2"/>
  <c r="S104" i="2"/>
  <c r="S106" i="2" s="1"/>
  <c r="Q78" i="2"/>
  <c r="P92" i="2"/>
  <c r="T32" i="2" l="1"/>
  <c r="T42" i="2" s="1"/>
  <c r="T92" i="2" s="1"/>
  <c r="T37" i="2"/>
  <c r="T43" i="2" s="1"/>
  <c r="Q92" i="2"/>
  <c r="P104" i="2"/>
  <c r="S78" i="2"/>
  <c r="S92" i="2"/>
  <c r="N104" i="2"/>
  <c r="N78" i="2"/>
  <c r="N92" i="2"/>
  <c r="R92" i="2"/>
  <c r="R78" i="2"/>
  <c r="R104" i="2"/>
  <c r="R106" i="2" s="1"/>
  <c r="O92" i="2"/>
  <c r="O104" i="2"/>
  <c r="O78" i="2"/>
  <c r="S105" i="2"/>
  <c r="Q105" i="2"/>
  <c r="T104" i="2" l="1"/>
  <c r="U32" i="2"/>
  <c r="U42" i="2" s="1"/>
  <c r="U104" i="2" s="1"/>
  <c r="T78" i="2"/>
  <c r="P105" i="2"/>
  <c r="P106" i="2"/>
  <c r="T105" i="2"/>
  <c r="T106" i="2"/>
  <c r="O106" i="2"/>
  <c r="O117" i="2"/>
  <c r="U37" i="2"/>
  <c r="U43" i="2" s="1"/>
  <c r="N105" i="2"/>
  <c r="R105" i="2"/>
  <c r="O105" i="2"/>
  <c r="O114" i="2" s="1"/>
  <c r="U106" i="2" l="1"/>
  <c r="U105" i="2"/>
  <c r="V37" i="2"/>
  <c r="V43" i="2" s="1"/>
  <c r="V32" i="2"/>
  <c r="V42" i="2" s="1"/>
  <c r="V92" i="2" s="1"/>
  <c r="U92" i="2"/>
  <c r="U78" i="2"/>
  <c r="V104" i="2" l="1"/>
  <c r="V106" i="2" s="1"/>
  <c r="V78" i="2"/>
  <c r="W37" i="2"/>
  <c r="W43" i="2" s="1"/>
  <c r="W32" i="2"/>
  <c r="W42" i="2" s="1"/>
  <c r="W92" i="2" s="1"/>
  <c r="V105" i="2"/>
  <c r="W78" i="2" l="1"/>
  <c r="W104" i="2"/>
  <c r="W105" i="2" s="1"/>
  <c r="X37" i="2"/>
  <c r="X43" i="2" s="1"/>
  <c r="X32" i="2"/>
  <c r="X42" i="2" s="1"/>
  <c r="X92" i="2" s="1"/>
  <c r="W106" i="2" l="1"/>
  <c r="X104" i="2"/>
  <c r="X105" i="2" s="1"/>
  <c r="X78" i="2"/>
  <c r="Y37" i="2"/>
  <c r="Y43" i="2" s="1"/>
  <c r="Y32" i="2"/>
  <c r="Y42" i="2" s="1"/>
  <c r="Y104" i="2" s="1"/>
  <c r="X106" i="2" l="1"/>
  <c r="Y78" i="2"/>
  <c r="Y92" i="2"/>
  <c r="Z37" i="2"/>
  <c r="Z43" i="2" s="1"/>
  <c r="Z32" i="2"/>
  <c r="Z42" i="2" s="1"/>
  <c r="Z78" i="2" s="1"/>
  <c r="Y105" i="2"/>
  <c r="Y106" i="2"/>
  <c r="AA32" i="2" l="1"/>
  <c r="AA42" i="2" s="1"/>
  <c r="AA78" i="2" s="1"/>
  <c r="Z92" i="2"/>
  <c r="Z104" i="2"/>
  <c r="Z105" i="2" s="1"/>
  <c r="AA104" i="2"/>
  <c r="AA37" i="2"/>
  <c r="AA43" i="2" s="1"/>
  <c r="AA92" i="2" l="1"/>
  <c r="Z106" i="2"/>
  <c r="AB37" i="2"/>
  <c r="AB43" i="2" s="1"/>
  <c r="AB32" i="2"/>
  <c r="AB42" i="2" s="1"/>
  <c r="AB104" i="2" s="1"/>
  <c r="AA105" i="2"/>
  <c r="AA106" i="2"/>
  <c r="AC32" i="2" l="1"/>
  <c r="AC42" i="2" s="1"/>
  <c r="AC78" i="2" s="1"/>
  <c r="AB78" i="2"/>
  <c r="AB92" i="2"/>
  <c r="AB105" i="2"/>
  <c r="AB106" i="2"/>
  <c r="AC37" i="2"/>
  <c r="AC43" i="2" s="1"/>
  <c r="AC104" i="2" l="1"/>
  <c r="AC92" i="2"/>
  <c r="AD37" i="2"/>
  <c r="AD43" i="2" s="1"/>
  <c r="AD32" i="2"/>
  <c r="AD42" i="2" s="1"/>
  <c r="AD78" i="2" s="1"/>
  <c r="AC105" i="2"/>
  <c r="AC106" i="2"/>
  <c r="AD92" i="2" l="1"/>
  <c r="AD104" i="2"/>
  <c r="AD105" i="2" s="1"/>
  <c r="AE37" i="2"/>
  <c r="AE43" i="2" s="1"/>
  <c r="AE32" i="2"/>
  <c r="AE42" i="2" s="1"/>
  <c r="AE104" i="2" s="1"/>
  <c r="AD106" i="2" l="1"/>
  <c r="AE78" i="2"/>
  <c r="AE92" i="2"/>
  <c r="AF37" i="2"/>
  <c r="AF43" i="2" s="1"/>
  <c r="AF32" i="2"/>
  <c r="AF42" i="2" s="1"/>
  <c r="AF78" i="2" s="1"/>
  <c r="AE105" i="2"/>
  <c r="AE106" i="2"/>
  <c r="AF104" i="2" l="1"/>
  <c r="AF106" i="2" s="1"/>
  <c r="AF92" i="2"/>
  <c r="AG37" i="2"/>
  <c r="AG43" i="2" s="1"/>
  <c r="AG32" i="2"/>
  <c r="AG42" i="2" s="1"/>
  <c r="AG78" i="2" s="1"/>
  <c r="AF105" i="2"/>
  <c r="AG92" i="2" l="1"/>
  <c r="AG104" i="2"/>
  <c r="AG105" i="2" s="1"/>
  <c r="AH32" i="2"/>
  <c r="AH42" i="2" s="1"/>
  <c r="AH78" i="2" s="1"/>
  <c r="AH37" i="2"/>
  <c r="AH43" i="2" s="1"/>
  <c r="AG106" i="2" l="1"/>
  <c r="AH92" i="2"/>
  <c r="AH104" i="2"/>
  <c r="AH105" i="2" s="1"/>
  <c r="AI37" i="2"/>
  <c r="AI43" i="2" s="1"/>
  <c r="AI32" i="2"/>
  <c r="AI42" i="2" s="1"/>
  <c r="AI78" i="2" s="1"/>
  <c r="AH106" i="2" l="1"/>
  <c r="AI104" i="2"/>
  <c r="AI105" i="2" s="1"/>
  <c r="AI92" i="2"/>
  <c r="AJ37" i="2"/>
  <c r="AJ43" i="2" s="1"/>
  <c r="AJ32" i="2"/>
  <c r="AJ42" i="2" s="1"/>
  <c r="AJ78" i="2" s="1"/>
  <c r="AI106" i="2"/>
  <c r="AJ104" i="2" l="1"/>
  <c r="AJ106" i="2" s="1"/>
  <c r="AJ92" i="2"/>
  <c r="AK37" i="2"/>
  <c r="AK43" i="2" s="1"/>
  <c r="AK32" i="2"/>
  <c r="AK42" i="2" s="1"/>
  <c r="AK92" i="2" s="1"/>
  <c r="AJ105" i="2"/>
  <c r="AK104" i="2" l="1"/>
  <c r="AK106" i="2" s="1"/>
  <c r="AK78" i="2"/>
  <c r="AL37" i="2"/>
  <c r="AL43" i="2" s="1"/>
  <c r="AL32" i="2"/>
  <c r="AL42" i="2" s="1"/>
  <c r="AL104" i="2" s="1"/>
  <c r="AK105" i="2" l="1"/>
  <c r="AL92" i="2"/>
  <c r="AL78" i="2"/>
  <c r="AM37" i="2"/>
  <c r="AM43" i="2" s="1"/>
  <c r="AM32" i="2"/>
  <c r="AM42" i="2" s="1"/>
  <c r="AM104" i="2" s="1"/>
  <c r="AL105" i="2"/>
  <c r="AL106" i="2"/>
  <c r="AM92" i="2" l="1"/>
  <c r="AM78" i="2"/>
  <c r="AN37" i="2"/>
  <c r="AN43" i="2" s="1"/>
  <c r="AN32" i="2"/>
  <c r="AN42" i="2" s="1"/>
  <c r="AN78" i="2" s="1"/>
  <c r="AM105" i="2"/>
  <c r="AM106" i="2"/>
  <c r="AN92" i="2" l="1"/>
  <c r="AN104" i="2"/>
  <c r="AN105" i="2" s="1"/>
  <c r="AO37" i="2"/>
  <c r="AO43" i="2" s="1"/>
  <c r="AO32" i="2"/>
  <c r="AO42" i="2" s="1"/>
  <c r="AO78" i="2" s="1"/>
  <c r="AN106" i="2" l="1"/>
  <c r="AO92" i="2"/>
  <c r="AO104" i="2"/>
  <c r="AO105" i="2" s="1"/>
  <c r="AP37" i="2"/>
  <c r="AP43" i="2" s="1"/>
  <c r="AP32" i="2"/>
  <c r="AP42" i="2" s="1"/>
  <c r="AO106" i="2" l="1"/>
  <c r="AP104" i="2"/>
  <c r="AP92" i="2"/>
  <c r="AP78" i="2"/>
  <c r="AP105" i="2" l="1"/>
  <c r="AP106" i="2"/>
  <c r="H81" i="2" l="1"/>
  <c r="H80" i="2"/>
  <c r="L78" i="2" l="1"/>
  <c r="D112" i="2" l="1"/>
  <c r="L106" i="2" l="1"/>
  <c r="M106" i="2"/>
  <c r="N106" i="2"/>
  <c r="AL107" i="2"/>
  <c r="AL108" i="2" s="1"/>
  <c r="AP107" i="2"/>
  <c r="AC107" i="2"/>
  <c r="AK107" i="2"/>
  <c r="AN107" i="2"/>
  <c r="AN108" i="2" s="1"/>
  <c r="Q107" i="2"/>
  <c r="S107" i="2"/>
  <c r="AA107" i="2"/>
  <c r="AA108" i="2" s="1"/>
  <c r="AI107" i="2"/>
  <c r="AI108" i="2" s="1"/>
  <c r="T107" i="2"/>
  <c r="AG107" i="2"/>
  <c r="AG108" i="2" s="1"/>
  <c r="AF107" i="2"/>
  <c r="P107" i="2"/>
  <c r="AM107" i="2"/>
  <c r="AD107" i="2"/>
  <c r="AE107" i="2"/>
  <c r="X107" i="2"/>
  <c r="W107" i="2"/>
  <c r="U107" i="2"/>
  <c r="U108" i="2" s="1"/>
  <c r="Y107" i="2"/>
  <c r="AJ107" i="2"/>
  <c r="AJ108" i="2" s="1"/>
  <c r="AB107" i="2"/>
  <c r="AB108" i="2" s="1"/>
  <c r="AO107" i="2"/>
  <c r="Z107" i="2"/>
  <c r="O107" i="2"/>
  <c r="N107" i="2"/>
  <c r="AH107" i="2"/>
  <c r="AH108" i="2" s="1"/>
  <c r="R107" i="2"/>
  <c r="R108" i="2" s="1"/>
  <c r="V107" i="2"/>
  <c r="V108" i="2" s="1"/>
  <c r="N108" i="2" l="1"/>
  <c r="O108" i="2"/>
  <c r="AF108" i="2"/>
  <c r="Y108" i="2"/>
  <c r="W108" i="2"/>
  <c r="X108" i="2"/>
  <c r="P108" i="2"/>
  <c r="AM108" i="2"/>
  <c r="Q108" i="2"/>
  <c r="AP108" i="2"/>
  <c r="Z108" i="2"/>
  <c r="AE108" i="2"/>
  <c r="AK108" i="2"/>
  <c r="AO108" i="2"/>
  <c r="AD108" i="2"/>
  <c r="S108" i="2"/>
  <c r="AC108" i="2"/>
  <c r="T108" i="2"/>
  <c r="L92" i="2" l="1"/>
  <c r="L99" i="2" s="1"/>
  <c r="M92" i="2" l="1"/>
  <c r="M99" i="2" s="1"/>
  <c r="M78" i="2" l="1"/>
  <c r="N99" i="2"/>
  <c r="N100" i="2" s="1"/>
  <c r="O99" i="2" l="1"/>
  <c r="O100" i="2" s="1"/>
  <c r="P99" i="2" l="1"/>
  <c r="P100" i="2" s="1"/>
  <c r="P79" i="2"/>
  <c r="P91" i="2" s="1"/>
  <c r="P103" i="2" s="1"/>
  <c r="C94" i="2" l="1"/>
  <c r="R99" i="2" l="1"/>
  <c r="R100" i="2" s="1"/>
  <c r="Q99" i="2"/>
  <c r="Q100" i="2" s="1"/>
  <c r="C93" i="2"/>
  <c r="C95" i="2"/>
  <c r="F82" i="2"/>
  <c r="F81" i="2"/>
  <c r="F80" i="2"/>
  <c r="Q95" i="2" l="1"/>
  <c r="S99" i="2"/>
  <c r="S100" i="2" s="1"/>
  <c r="S95" i="2" s="1"/>
  <c r="O95" i="2"/>
  <c r="N95" i="2"/>
  <c r="P95" i="2"/>
  <c r="R95" i="2"/>
  <c r="C48" i="2"/>
  <c r="C51" i="2"/>
  <c r="C49" i="2"/>
  <c r="C47" i="2"/>
  <c r="B93" i="2"/>
  <c r="K93" i="2" s="1"/>
  <c r="B94" i="2"/>
  <c r="K94" i="2" s="1"/>
  <c r="B95" i="2"/>
  <c r="O79" i="2"/>
  <c r="O91" i="2" s="1"/>
  <c r="O103" i="2" s="1"/>
  <c r="M79" i="2"/>
  <c r="M91" i="2" s="1"/>
  <c r="M103" i="2" s="1"/>
  <c r="L79" i="2"/>
  <c r="L91" i="2" s="1"/>
  <c r="L103" i="2" s="1"/>
  <c r="D80" i="2"/>
  <c r="D81" i="2"/>
  <c r="D82" i="2"/>
  <c r="M49" i="2" l="1"/>
  <c r="M58" i="2" s="1"/>
  <c r="L49" i="2"/>
  <c r="AH49" i="2"/>
  <c r="AH58" i="2" s="1"/>
  <c r="N49" i="2"/>
  <c r="N58" i="2" s="1"/>
  <c r="Q49" i="2"/>
  <c r="Q58" i="2" s="1"/>
  <c r="AK49" i="2"/>
  <c r="AK58" i="2" s="1"/>
  <c r="AF49" i="2"/>
  <c r="AF58" i="2" s="1"/>
  <c r="Y49" i="2"/>
  <c r="Y58" i="2" s="1"/>
  <c r="U49" i="2"/>
  <c r="U58" i="2" s="1"/>
  <c r="AB49" i="2"/>
  <c r="AB58" i="2" s="1"/>
  <c r="AI49" i="2"/>
  <c r="AI58" i="2" s="1"/>
  <c r="AN49" i="2"/>
  <c r="AN58" i="2" s="1"/>
  <c r="AO49" i="2"/>
  <c r="AO58" i="2" s="1"/>
  <c r="T49" i="2"/>
  <c r="T58" i="2" s="1"/>
  <c r="X49" i="2"/>
  <c r="X58" i="2" s="1"/>
  <c r="P49" i="2"/>
  <c r="P58" i="2" s="1"/>
  <c r="AJ49" i="2"/>
  <c r="AJ58" i="2" s="1"/>
  <c r="AL49" i="2"/>
  <c r="AL58" i="2" s="1"/>
  <c r="S49" i="2"/>
  <c r="S58" i="2" s="1"/>
  <c r="AG49" i="2"/>
  <c r="AG58" i="2" s="1"/>
  <c r="AC49" i="2"/>
  <c r="AC58" i="2" s="1"/>
  <c r="W49" i="2"/>
  <c r="W58" i="2" s="1"/>
  <c r="AP49" i="2"/>
  <c r="AP58" i="2" s="1"/>
  <c r="R49" i="2"/>
  <c r="R58" i="2" s="1"/>
  <c r="O49" i="2"/>
  <c r="O58" i="2" s="1"/>
  <c r="Z49" i="2"/>
  <c r="Z58" i="2" s="1"/>
  <c r="AA49" i="2"/>
  <c r="AA58" i="2" s="1"/>
  <c r="AD49" i="2"/>
  <c r="AD58" i="2" s="1"/>
  <c r="AM49" i="2"/>
  <c r="AM58" i="2" s="1"/>
  <c r="AE49" i="2"/>
  <c r="AE58" i="2" s="1"/>
  <c r="V49" i="2"/>
  <c r="V58" i="2" s="1"/>
  <c r="L50" i="2"/>
  <c r="M50" i="2"/>
  <c r="N50" i="2"/>
  <c r="S50" i="2"/>
  <c r="Q50" i="2"/>
  <c r="AK50" i="2"/>
  <c r="Y50" i="2"/>
  <c r="W50" i="2"/>
  <c r="U50" i="2"/>
  <c r="AF50" i="2"/>
  <c r="AG50" i="2"/>
  <c r="AC50" i="2"/>
  <c r="X50" i="2"/>
  <c r="AM50" i="2"/>
  <c r="AH50" i="2"/>
  <c r="AB50" i="2"/>
  <c r="AI50" i="2"/>
  <c r="AN50" i="2"/>
  <c r="AL50" i="2"/>
  <c r="P50" i="2"/>
  <c r="AO50" i="2"/>
  <c r="AJ50" i="2"/>
  <c r="T50" i="2"/>
  <c r="AP50" i="2"/>
  <c r="V50" i="2"/>
  <c r="AD50" i="2"/>
  <c r="AA50" i="2"/>
  <c r="O50" i="2"/>
  <c r="AE50" i="2"/>
  <c r="R50" i="2"/>
  <c r="Z50" i="2"/>
  <c r="M47" i="2"/>
  <c r="M55" i="2" s="1"/>
  <c r="L47" i="2"/>
  <c r="AH47" i="2"/>
  <c r="AH55" i="2" s="1"/>
  <c r="AB47" i="2"/>
  <c r="AI47" i="2"/>
  <c r="AI55" i="2" s="1"/>
  <c r="AN47" i="2"/>
  <c r="W47" i="2"/>
  <c r="W55" i="2" s="1"/>
  <c r="N47" i="2"/>
  <c r="N55" i="2" s="1"/>
  <c r="AG47" i="2"/>
  <c r="AG55" i="2" s="1"/>
  <c r="AC47" i="2"/>
  <c r="AC55" i="2" s="1"/>
  <c r="X47" i="2"/>
  <c r="X55" i="2" s="1"/>
  <c r="P47" i="2"/>
  <c r="P55" i="2" s="1"/>
  <c r="AO47" i="2"/>
  <c r="AO55" i="2" s="1"/>
  <c r="AJ47" i="2"/>
  <c r="AJ55" i="2" s="1"/>
  <c r="U47" i="2"/>
  <c r="U55" i="2" s="1"/>
  <c r="AE47" i="2"/>
  <c r="AE55" i="2" s="1"/>
  <c r="AF47" i="2"/>
  <c r="AF55" i="2" s="1"/>
  <c r="S47" i="2"/>
  <c r="S55" i="2" s="1"/>
  <c r="Q47" i="2"/>
  <c r="Q55" i="2" s="1"/>
  <c r="AK47" i="2"/>
  <c r="AK55" i="2" s="1"/>
  <c r="Y47" i="2"/>
  <c r="Y55" i="2" s="1"/>
  <c r="V47" i="2"/>
  <c r="V55" i="2" s="1"/>
  <c r="AA47" i="2"/>
  <c r="AA55" i="2" s="1"/>
  <c r="AM47" i="2"/>
  <c r="AM55" i="2" s="1"/>
  <c r="AP47" i="2"/>
  <c r="AP55" i="2" s="1"/>
  <c r="R47" i="2"/>
  <c r="R55" i="2" s="1"/>
  <c r="O47" i="2"/>
  <c r="O55" i="2" s="1"/>
  <c r="AL47" i="2"/>
  <c r="AL55" i="2" s="1"/>
  <c r="Z47" i="2"/>
  <c r="Z55" i="2" s="1"/>
  <c r="AD47" i="2"/>
  <c r="AD55" i="2" s="1"/>
  <c r="T47" i="2"/>
  <c r="T55" i="2" s="1"/>
  <c r="L46" i="2"/>
  <c r="M46" i="2"/>
  <c r="M54" i="2" s="1"/>
  <c r="AH46" i="2"/>
  <c r="AH54" i="2" s="1"/>
  <c r="AG46" i="2"/>
  <c r="AC46" i="2"/>
  <c r="X46" i="2"/>
  <c r="P46" i="2"/>
  <c r="AO46" i="2"/>
  <c r="AJ46" i="2"/>
  <c r="AL46" i="2"/>
  <c r="AL54" i="2" s="1"/>
  <c r="S46" i="2"/>
  <c r="S54" i="2" s="1"/>
  <c r="Q46" i="2"/>
  <c r="Q54" i="2" s="1"/>
  <c r="AK46" i="2"/>
  <c r="AK54" i="2" s="1"/>
  <c r="Y46" i="2"/>
  <c r="Y54" i="2" s="1"/>
  <c r="W46" i="2"/>
  <c r="W54" i="2" s="1"/>
  <c r="N46" i="2"/>
  <c r="N54" i="2" s="1"/>
  <c r="AI46" i="2"/>
  <c r="AI54" i="2" s="1"/>
  <c r="U46" i="2"/>
  <c r="U54" i="2" s="1"/>
  <c r="AF46" i="2"/>
  <c r="AF54" i="2" s="1"/>
  <c r="AB46" i="2"/>
  <c r="AB54" i="2" s="1"/>
  <c r="AN46" i="2"/>
  <c r="AN54" i="2" s="1"/>
  <c r="AA46" i="2"/>
  <c r="AA54" i="2" s="1"/>
  <c r="AD46" i="2"/>
  <c r="AD54" i="2" s="1"/>
  <c r="AE46" i="2"/>
  <c r="AE54" i="2" s="1"/>
  <c r="R46" i="2"/>
  <c r="R54" i="2" s="1"/>
  <c r="Z46" i="2"/>
  <c r="Z54" i="2" s="1"/>
  <c r="AM46" i="2"/>
  <c r="V46" i="2"/>
  <c r="V54" i="2" s="1"/>
  <c r="AP46" i="2"/>
  <c r="AP54" i="2" s="1"/>
  <c r="T46" i="2"/>
  <c r="T54" i="2" s="1"/>
  <c r="O46" i="2"/>
  <c r="O54" i="2" s="1"/>
  <c r="T99" i="2"/>
  <c r="T100" i="2" s="1"/>
  <c r="T95" i="2" s="1"/>
  <c r="M100" i="2"/>
  <c r="M95" i="2" s="1"/>
  <c r="L100" i="2"/>
  <c r="L95" i="2" s="1"/>
  <c r="AJ79" i="2"/>
  <c r="AF79" i="2"/>
  <c r="AF91" i="2" s="1"/>
  <c r="AF103" i="2" s="1"/>
  <c r="T79" i="2"/>
  <c r="T91" i="2" s="1"/>
  <c r="T103" i="2" s="1"/>
  <c r="X79" i="2"/>
  <c r="X91" i="2" s="1"/>
  <c r="X103" i="2" s="1"/>
  <c r="AB79" i="2"/>
  <c r="AB91" i="2" s="1"/>
  <c r="AB103" i="2" s="1"/>
  <c r="Q79" i="2"/>
  <c r="Q91" i="2" s="1"/>
  <c r="Q103" i="2" s="1"/>
  <c r="U79" i="2"/>
  <c r="U91" i="2" s="1"/>
  <c r="U103" i="2" s="1"/>
  <c r="Y79" i="2"/>
  <c r="Y91" i="2" s="1"/>
  <c r="Y103" i="2" s="1"/>
  <c r="AC79" i="2"/>
  <c r="AC91" i="2" s="1"/>
  <c r="AC103" i="2" s="1"/>
  <c r="AG79" i="2"/>
  <c r="AG91" i="2" s="1"/>
  <c r="AG103" i="2" s="1"/>
  <c r="R79" i="2"/>
  <c r="R91" i="2" s="1"/>
  <c r="R103" i="2" s="1"/>
  <c r="V79" i="2"/>
  <c r="V91" i="2" s="1"/>
  <c r="V103" i="2" s="1"/>
  <c r="Z79" i="2"/>
  <c r="Z91" i="2" s="1"/>
  <c r="Z103" i="2" s="1"/>
  <c r="AD79" i="2"/>
  <c r="AD91" i="2" s="1"/>
  <c r="AD103" i="2" s="1"/>
  <c r="AH79" i="2"/>
  <c r="AH91" i="2" s="1"/>
  <c r="AH103" i="2" s="1"/>
  <c r="S79" i="2"/>
  <c r="S91" i="2" s="1"/>
  <c r="S103" i="2" s="1"/>
  <c r="W79" i="2"/>
  <c r="W91" i="2" s="1"/>
  <c r="W103" i="2" s="1"/>
  <c r="AA79" i="2"/>
  <c r="AA91" i="2" s="1"/>
  <c r="AA103" i="2" s="1"/>
  <c r="AE79" i="2"/>
  <c r="AE91" i="2" s="1"/>
  <c r="AE103" i="2" s="1"/>
  <c r="AI79" i="2"/>
  <c r="AI91" i="2" s="1"/>
  <c r="AI103" i="2" s="1"/>
  <c r="C57" i="2"/>
  <c r="C56" i="2"/>
  <c r="C55" i="2"/>
  <c r="C54" i="2"/>
  <c r="H82" i="2"/>
  <c r="AM54" i="2" l="1"/>
  <c r="P54" i="2"/>
  <c r="AN55" i="2"/>
  <c r="AE59" i="2"/>
  <c r="V59" i="2"/>
  <c r="AO59" i="2"/>
  <c r="AI59" i="2"/>
  <c r="X59" i="2"/>
  <c r="U59" i="2"/>
  <c r="Q59" i="2"/>
  <c r="X54" i="2"/>
  <c r="O59" i="2"/>
  <c r="AP59" i="2"/>
  <c r="P59" i="2"/>
  <c r="AB59" i="2"/>
  <c r="AC59" i="2"/>
  <c r="W59" i="2"/>
  <c r="S59" i="2"/>
  <c r="AJ54" i="2"/>
  <c r="AC54" i="2"/>
  <c r="AB55" i="2"/>
  <c r="Z59" i="2"/>
  <c r="AA59" i="2"/>
  <c r="T59" i="2"/>
  <c r="AL59" i="2"/>
  <c r="AH59" i="2"/>
  <c r="AG59" i="2"/>
  <c r="Y59" i="2"/>
  <c r="N59" i="2"/>
  <c r="AO54" i="2"/>
  <c r="AG54" i="2"/>
  <c r="R59" i="2"/>
  <c r="AD59" i="2"/>
  <c r="AJ59" i="2"/>
  <c r="AN59" i="2"/>
  <c r="AM59" i="2"/>
  <c r="AF59" i="2"/>
  <c r="AK59" i="2"/>
  <c r="M59" i="2"/>
  <c r="N80" i="2"/>
  <c r="AP80" i="2"/>
  <c r="N82" i="2"/>
  <c r="AP82" i="2"/>
  <c r="U99" i="2"/>
  <c r="U100" i="2" s="1"/>
  <c r="U95" i="2" s="1"/>
  <c r="C50" i="2"/>
  <c r="AJ91" i="2"/>
  <c r="AJ103" i="2" s="1"/>
  <c r="AK79" i="2"/>
  <c r="AL79" i="2" s="1"/>
  <c r="AM79" i="2" s="1"/>
  <c r="AN79" i="2" s="1"/>
  <c r="AO79" i="2" s="1"/>
  <c r="AP79" i="2" s="1"/>
  <c r="L48" i="2" l="1"/>
  <c r="M48" i="2"/>
  <c r="M56" i="2" s="1"/>
  <c r="M60" i="2" s="1"/>
  <c r="U48" i="2"/>
  <c r="AF48" i="2"/>
  <c r="AI48" i="2"/>
  <c r="AH48" i="2"/>
  <c r="AH56" i="2" s="1"/>
  <c r="AH60" i="2" s="1"/>
  <c r="AB48" i="2"/>
  <c r="AB56" i="2" s="1"/>
  <c r="AB60" i="2" s="1"/>
  <c r="AN48" i="2"/>
  <c r="AN56" i="2" s="1"/>
  <c r="AN60" i="2" s="1"/>
  <c r="W48" i="2"/>
  <c r="W56" i="2" s="1"/>
  <c r="W60" i="2" s="1"/>
  <c r="N48" i="2"/>
  <c r="N56" i="2" s="1"/>
  <c r="N60" i="2" s="1"/>
  <c r="Q48" i="2"/>
  <c r="Q56" i="2" s="1"/>
  <c r="Q60" i="2" s="1"/>
  <c r="AE48" i="2"/>
  <c r="AE56" i="2" s="1"/>
  <c r="AE60" i="2" s="1"/>
  <c r="T48" i="2"/>
  <c r="T56" i="2" s="1"/>
  <c r="T60" i="2" s="1"/>
  <c r="AL48" i="2"/>
  <c r="AL56" i="2" s="1"/>
  <c r="AL60" i="2" s="1"/>
  <c r="S48" i="2"/>
  <c r="S56" i="2" s="1"/>
  <c r="S60" i="2" s="1"/>
  <c r="AG48" i="2"/>
  <c r="AG56" i="2" s="1"/>
  <c r="AG60" i="2" s="1"/>
  <c r="AC48" i="2"/>
  <c r="AC56" i="2" s="1"/>
  <c r="AC60" i="2" s="1"/>
  <c r="X48" i="2"/>
  <c r="X56" i="2" s="1"/>
  <c r="X60" i="2" s="1"/>
  <c r="P48" i="2"/>
  <c r="P56" i="2" s="1"/>
  <c r="P60" i="2" s="1"/>
  <c r="AO48" i="2"/>
  <c r="AO56" i="2" s="1"/>
  <c r="AO60" i="2" s="1"/>
  <c r="AJ48" i="2"/>
  <c r="AJ56" i="2" s="1"/>
  <c r="AJ60" i="2" s="1"/>
  <c r="AK48" i="2"/>
  <c r="AK56" i="2" s="1"/>
  <c r="AK60" i="2" s="1"/>
  <c r="Y48" i="2"/>
  <c r="AA48" i="2"/>
  <c r="O48" i="2"/>
  <c r="O56" i="2" s="1"/>
  <c r="O60" i="2" s="1"/>
  <c r="V48" i="2"/>
  <c r="V56" i="2" s="1"/>
  <c r="V60" i="2" s="1"/>
  <c r="AM48" i="2"/>
  <c r="AM56" i="2" s="1"/>
  <c r="AM60" i="2" s="1"/>
  <c r="AD48" i="2"/>
  <c r="AD56" i="2" s="1"/>
  <c r="AD60" i="2" s="1"/>
  <c r="R48" i="2"/>
  <c r="R56" i="2" s="1"/>
  <c r="R60" i="2" s="1"/>
  <c r="AP48" i="2"/>
  <c r="AP56" i="2" s="1"/>
  <c r="AP60" i="2" s="1"/>
  <c r="Z48" i="2"/>
  <c r="Z56" i="2" s="1"/>
  <c r="Z60" i="2" s="1"/>
  <c r="AP81" i="2"/>
  <c r="AP84" i="2" s="1"/>
  <c r="N81" i="2"/>
  <c r="N84" i="2" s="1"/>
  <c r="M81" i="2"/>
  <c r="AK91" i="2"/>
  <c r="AK103" i="2" s="1"/>
  <c r="AA56" i="2" l="1"/>
  <c r="AA60" i="2" s="1"/>
  <c r="AF56" i="2"/>
  <c r="AF60" i="2" s="1"/>
  <c r="Y56" i="2"/>
  <c r="Y60" i="2" s="1"/>
  <c r="U56" i="2"/>
  <c r="U60" i="2" s="1"/>
  <c r="AI56" i="2"/>
  <c r="AI60" i="2" s="1"/>
  <c r="V99" i="2"/>
  <c r="V100" i="2" s="1"/>
  <c r="V95" i="2" s="1"/>
  <c r="AL91" i="2"/>
  <c r="AL103" i="2" s="1"/>
  <c r="K74" i="2" l="1"/>
  <c r="K75" i="2"/>
  <c r="W99" i="2"/>
  <c r="W100" i="2" s="1"/>
  <c r="W95" i="2" s="1"/>
  <c r="N93" i="2"/>
  <c r="N94" i="2"/>
  <c r="AM91" i="2"/>
  <c r="AM103" i="2" s="1"/>
  <c r="M94" i="2"/>
  <c r="M93" i="2"/>
  <c r="L93" i="2"/>
  <c r="L94" i="2"/>
  <c r="L81" i="2"/>
  <c r="L82" i="2"/>
  <c r="L80" i="2"/>
  <c r="M80" i="2"/>
  <c r="M82" i="2"/>
  <c r="X99" i="2" l="1"/>
  <c r="X100" i="2" s="1"/>
  <c r="X95" i="2" s="1"/>
  <c r="N96" i="2"/>
  <c r="AN91" i="2"/>
  <c r="AN103" i="2" s="1"/>
  <c r="L84" i="2"/>
  <c r="M84" i="2"/>
  <c r="L96" i="2"/>
  <c r="M96" i="2"/>
  <c r="Y99" i="2" l="1"/>
  <c r="Y100" i="2" s="1"/>
  <c r="Y95" i="2" s="1"/>
  <c r="Z99" i="2"/>
  <c r="Z100" i="2" s="1"/>
  <c r="Z95" i="2" s="1"/>
  <c r="U80" i="2"/>
  <c r="AO91" i="2"/>
  <c r="AO103" i="2" s="1"/>
  <c r="V80" i="2"/>
  <c r="V82" i="2"/>
  <c r="V81" i="2"/>
  <c r="O82" i="2"/>
  <c r="O81" i="2"/>
  <c r="O80" i="2"/>
  <c r="V94" i="2"/>
  <c r="V93" i="2"/>
  <c r="U81" i="2"/>
  <c r="U82" i="2"/>
  <c r="O94" i="2"/>
  <c r="O93" i="2"/>
  <c r="T80" i="2"/>
  <c r="T81" i="2"/>
  <c r="T82" i="2"/>
  <c r="T94" i="2"/>
  <c r="T93" i="2"/>
  <c r="U93" i="2" l="1"/>
  <c r="U94" i="2"/>
  <c r="AP91" i="2"/>
  <c r="AP103" i="2" s="1"/>
  <c r="O84" i="2"/>
  <c r="O96" i="2"/>
  <c r="U84" i="2"/>
  <c r="V96" i="2"/>
  <c r="T84" i="2"/>
  <c r="V84" i="2"/>
  <c r="W82" i="2"/>
  <c r="W81" i="2"/>
  <c r="W80" i="2"/>
  <c r="T96" i="2"/>
  <c r="W94" i="2"/>
  <c r="W93" i="2"/>
  <c r="AA99" i="2" l="1"/>
  <c r="AA100" i="2" s="1"/>
  <c r="AA95" i="2" s="1"/>
  <c r="U96" i="2"/>
  <c r="P93" i="2"/>
  <c r="P94" i="2"/>
  <c r="P82" i="2"/>
  <c r="P80" i="2"/>
  <c r="P81" i="2"/>
  <c r="W84" i="2"/>
  <c r="W96" i="2"/>
  <c r="X80" i="2"/>
  <c r="X82" i="2"/>
  <c r="X81" i="2"/>
  <c r="Q94" i="2"/>
  <c r="Q93" i="2"/>
  <c r="X94" i="2"/>
  <c r="X93" i="2"/>
  <c r="Q81" i="2"/>
  <c r="Q82" i="2"/>
  <c r="Q80" i="2"/>
  <c r="AB99" i="2" l="1"/>
  <c r="AB100" i="2" s="1"/>
  <c r="AB95" i="2" s="1"/>
  <c r="AC99" i="2"/>
  <c r="AC100" i="2" s="1"/>
  <c r="AC95" i="2" s="1"/>
  <c r="P84" i="2"/>
  <c r="P96" i="2"/>
  <c r="Q84" i="2"/>
  <c r="Y94" i="2"/>
  <c r="Y93" i="2"/>
  <c r="Q96" i="2"/>
  <c r="R94" i="2"/>
  <c r="R93" i="2"/>
  <c r="X84" i="2"/>
  <c r="R80" i="2"/>
  <c r="R81" i="2"/>
  <c r="R82" i="2"/>
  <c r="Y81" i="2"/>
  <c r="Y82" i="2"/>
  <c r="Y80" i="2"/>
  <c r="X96" i="2"/>
  <c r="L98" i="2" l="1"/>
  <c r="Z80" i="2"/>
  <c r="Z81" i="2"/>
  <c r="Z82" i="2"/>
  <c r="S82" i="2"/>
  <c r="S81" i="2"/>
  <c r="S80" i="2"/>
  <c r="Z94" i="2"/>
  <c r="Z93" i="2"/>
  <c r="S94" i="2"/>
  <c r="S93" i="2"/>
  <c r="Y84" i="2"/>
  <c r="R84" i="2"/>
  <c r="R96" i="2"/>
  <c r="Y96" i="2"/>
  <c r="AD99" i="2" l="1"/>
  <c r="AD100" i="2" s="1"/>
  <c r="AD95" i="2" s="1"/>
  <c r="AE99" i="2"/>
  <c r="AE100" i="2" s="1"/>
  <c r="AE95" i="2" s="1"/>
  <c r="Z84" i="2"/>
  <c r="AA82" i="2"/>
  <c r="AA81" i="2"/>
  <c r="AA80" i="2"/>
  <c r="AA93" i="2"/>
  <c r="AA94" i="2"/>
  <c r="Z96" i="2"/>
  <c r="S96" i="2"/>
  <c r="S84" i="2"/>
  <c r="AA96" i="2" l="1"/>
  <c r="AA84" i="2"/>
  <c r="AB94" i="2"/>
  <c r="AB93" i="2"/>
  <c r="AB80" i="2"/>
  <c r="AB81" i="2"/>
  <c r="AB82" i="2"/>
  <c r="AG99" i="2" l="1"/>
  <c r="AG100" i="2" s="1"/>
  <c r="AG95" i="2" s="1"/>
  <c r="AF99" i="2"/>
  <c r="AF100" i="2" s="1"/>
  <c r="AF95" i="2" s="1"/>
  <c r="AB84" i="2"/>
  <c r="AB96" i="2"/>
  <c r="AC81" i="2"/>
  <c r="AC82" i="2"/>
  <c r="AC80" i="2"/>
  <c r="AC93" i="2"/>
  <c r="AC94" i="2"/>
  <c r="AH99" i="2" l="1"/>
  <c r="AH100" i="2" s="1"/>
  <c r="AH95" i="2" s="1"/>
  <c r="AD80" i="2"/>
  <c r="AD82" i="2"/>
  <c r="AD81" i="2"/>
  <c r="AC96" i="2"/>
  <c r="AD94" i="2"/>
  <c r="AD93" i="2"/>
  <c r="AC84" i="2"/>
  <c r="AD84" i="2" l="1"/>
  <c r="AD96" i="2"/>
  <c r="AE82" i="2"/>
  <c r="AE81" i="2"/>
  <c r="AE80" i="2"/>
  <c r="AE94" i="2"/>
  <c r="AE93" i="2"/>
  <c r="AF80" i="2" l="1"/>
  <c r="AF82" i="2"/>
  <c r="AF81" i="2"/>
  <c r="AE96" i="2"/>
  <c r="AF94" i="2"/>
  <c r="AF93" i="2"/>
  <c r="AE84" i="2"/>
  <c r="AF96" i="2" l="1"/>
  <c r="AG81" i="2"/>
  <c r="AG82" i="2"/>
  <c r="AG80" i="2"/>
  <c r="AG94" i="2"/>
  <c r="AG93" i="2"/>
  <c r="AF84" i="2"/>
  <c r="AG96" i="2" l="1"/>
  <c r="AH94" i="2"/>
  <c r="AH93" i="2"/>
  <c r="AG84" i="2"/>
  <c r="AH80" i="2"/>
  <c r="AH81" i="2"/>
  <c r="AH82" i="2"/>
  <c r="AI82" i="2" l="1"/>
  <c r="AH96" i="2"/>
  <c r="AH84" i="2"/>
  <c r="AI99" i="2" l="1"/>
  <c r="AI100" i="2" s="1"/>
  <c r="AI95" i="2" s="1"/>
  <c r="AJ99" i="2"/>
  <c r="AJ100" i="2" s="1"/>
  <c r="AJ95" i="2" s="1"/>
  <c r="AI93" i="2"/>
  <c r="AI80" i="2"/>
  <c r="AI94" i="2"/>
  <c r="AI81" i="2"/>
  <c r="AJ80" i="2"/>
  <c r="AJ94" i="2"/>
  <c r="AJ93" i="2"/>
  <c r="AI84" i="2" l="1"/>
  <c r="AK99" i="2"/>
  <c r="AK100" i="2" s="1"/>
  <c r="AK95" i="2" s="1"/>
  <c r="AI96" i="2"/>
  <c r="AJ82" i="2"/>
  <c r="AJ81" i="2"/>
  <c r="AK81" i="2"/>
  <c r="AK94" i="2"/>
  <c r="AK93" i="2"/>
  <c r="AJ96" i="2"/>
  <c r="AJ84" i="2" l="1"/>
  <c r="AK80" i="2"/>
  <c r="AK82" i="2"/>
  <c r="AL81" i="2"/>
  <c r="AK96" i="2"/>
  <c r="AL99" i="2" l="1"/>
  <c r="AL100" i="2" s="1"/>
  <c r="AL95" i="2" s="1"/>
  <c r="AK84" i="2"/>
  <c r="AL80" i="2"/>
  <c r="AL82" i="2"/>
  <c r="AL94" i="2"/>
  <c r="AL93" i="2"/>
  <c r="AM82" i="2"/>
  <c r="AM99" i="2" l="1"/>
  <c r="AM100" i="2" s="1"/>
  <c r="AM95" i="2" s="1"/>
  <c r="AL96" i="2"/>
  <c r="AL84" i="2"/>
  <c r="AN82" i="2"/>
  <c r="AM94" i="2"/>
  <c r="AM80" i="2"/>
  <c r="AM93" i="2"/>
  <c r="AM81" i="2"/>
  <c r="K126" i="2"/>
  <c r="L119" i="2" l="1"/>
  <c r="D8" i="4"/>
  <c r="AN94" i="2"/>
  <c r="AN99" i="2"/>
  <c r="AN100" i="2" s="1"/>
  <c r="AN95" i="2" s="1"/>
  <c r="AN93" i="2"/>
  <c r="AN80" i="2"/>
  <c r="AN81" i="2"/>
  <c r="AM84" i="2"/>
  <c r="AO82" i="2"/>
  <c r="AM96" i="2"/>
  <c r="K119" i="2"/>
  <c r="C8" i="4" l="1"/>
  <c r="AN96" i="2"/>
  <c r="AN84" i="2"/>
  <c r="AP99" i="2"/>
  <c r="AP100" i="2" s="1"/>
  <c r="AP95" i="2" s="1"/>
  <c r="AO99" i="2"/>
  <c r="AO100" i="2" s="1"/>
  <c r="AO95" i="2" s="1"/>
  <c r="AO93" i="2"/>
  <c r="AO94" i="2"/>
  <c r="AO81" i="2"/>
  <c r="AO80" i="2"/>
  <c r="AP94" i="2"/>
  <c r="AP93" i="2"/>
  <c r="K116" i="2" l="1"/>
  <c r="K123" i="2"/>
  <c r="AO84" i="2"/>
  <c r="AO96" i="2"/>
  <c r="AP96" i="2"/>
  <c r="L116" i="2" l="1"/>
  <c r="D5" i="4"/>
  <c r="C5" i="4"/>
  <c r="K124" i="2"/>
  <c r="K117" i="2"/>
  <c r="K118" i="2"/>
  <c r="K125" i="2"/>
  <c r="L118" i="2" l="1"/>
  <c r="D7" i="4"/>
  <c r="L117" i="2"/>
  <c r="D6" i="4"/>
  <c r="C7" i="4"/>
  <c r="C6" i="4"/>
  <c r="K120" i="2"/>
  <c r="K127" i="2"/>
  <c r="L120" i="2" l="1"/>
  <c r="D9" i="4"/>
  <c r="C9" i="4"/>
  <c r="F8" i="4" s="1"/>
  <c r="G8" i="4" l="1"/>
  <c r="D12" i="4"/>
  <c r="D14" i="4"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<sst xmlns="http://schemas.openxmlformats.org/spreadsheetml/2006/main" count="386" uniqueCount="289">
  <si>
    <t>Model Parameters</t>
  </si>
  <si>
    <t>General</t>
  </si>
  <si>
    <t>Discount Rate</t>
  </si>
  <si>
    <t>Base Year</t>
  </si>
  <si>
    <t>Conversion Factors</t>
  </si>
  <si>
    <t>Metric Ton to Grams</t>
  </si>
  <si>
    <t>grams / metric ton</t>
  </si>
  <si>
    <t>Long UK Ton to Metric Ton</t>
  </si>
  <si>
    <t>long UK ton / metric ton</t>
  </si>
  <si>
    <t>Short US Ton to Metric Ton</t>
  </si>
  <si>
    <t>short US ton / metric ton</t>
  </si>
  <si>
    <t>Pounds to Metric Ton</t>
  </si>
  <si>
    <t>pounds / metric ton</t>
  </si>
  <si>
    <t>Miles to Kilometer</t>
  </si>
  <si>
    <t>kilometers / mile</t>
  </si>
  <si>
    <t>Miles to Feet</t>
  </si>
  <si>
    <t>feet / mile</t>
  </si>
  <si>
    <t>Short Ton to Grams</t>
  </si>
  <si>
    <t>grams / short ton</t>
  </si>
  <si>
    <t>long ton to Metric Ton</t>
  </si>
  <si>
    <t>metric Ton / long ton</t>
  </si>
  <si>
    <t>Value of Time</t>
  </si>
  <si>
    <t>Vehicle Operators</t>
  </si>
  <si>
    <t>Truck Drivers</t>
  </si>
  <si>
    <t>Bus Drivers</t>
  </si>
  <si>
    <t>Locomotive engineers</t>
  </si>
  <si>
    <t>Airline pilots and engineers</t>
  </si>
  <si>
    <t>percent</t>
  </si>
  <si>
    <t>Average Vehilcle Occupancy Rate</t>
  </si>
  <si>
    <t>Truck</t>
  </si>
  <si>
    <t>persons per vehicle</t>
  </si>
  <si>
    <t>Locomotives</t>
  </si>
  <si>
    <t>engineers per train</t>
  </si>
  <si>
    <t>Operating Costs</t>
  </si>
  <si>
    <t>Auto Maintenance Cost (Med/Lg Automobile)</t>
  </si>
  <si>
    <t>Oil Price - Auto</t>
  </si>
  <si>
    <t>$ per quart</t>
  </si>
  <si>
    <t>HERS Technical Report, 2002, Updated from 1997$ to 2012$ using BLS Series CUUR0000SS47021</t>
  </si>
  <si>
    <t>Truck Maintenance Costs (Avg. 4-5 Axle Combo)</t>
  </si>
  <si>
    <t>Oil Price - Truck</t>
  </si>
  <si>
    <t>per quart</t>
  </si>
  <si>
    <t>Safety</t>
  </si>
  <si>
    <t>Fatalities</t>
  </si>
  <si>
    <t>Trucking</t>
  </si>
  <si>
    <t>fatalities per billion ton-miles</t>
  </si>
  <si>
    <t>Railroad</t>
  </si>
  <si>
    <t>Waterways</t>
  </si>
  <si>
    <t>All Non-Fatal Injuries</t>
  </si>
  <si>
    <t>injuries per billion ton-miles</t>
  </si>
  <si>
    <t>Accident Cost</t>
  </si>
  <si>
    <t>Fatal accident cost (K)</t>
  </si>
  <si>
    <t>$ per accident</t>
  </si>
  <si>
    <t>Severe Injury Accident Cost (A)</t>
  </si>
  <si>
    <t>Moderate Injury Accident Cost (B)</t>
  </si>
  <si>
    <t>Minor Injury Accident Cost ( C)</t>
  </si>
  <si>
    <t>Pers. Inj. Accident cost - (No KABCO data) - Severity Unknown</t>
  </si>
  <si>
    <t>Annual increase in value of life</t>
  </si>
  <si>
    <t>percent per year</t>
  </si>
  <si>
    <t>Emissions</t>
  </si>
  <si>
    <t>tons per million ton-miles</t>
  </si>
  <si>
    <t>Nitrogen Oxides (NOx)</t>
  </si>
  <si>
    <t>Carbon Dioxide (CO2) Equivalents</t>
  </si>
  <si>
    <t>Emission Costs</t>
  </si>
  <si>
    <t>Nitrogen Oxides (Nox)</t>
  </si>
  <si>
    <t>Volatile Organic Compounds (VOC)</t>
  </si>
  <si>
    <t>Fine Particule (PM)</t>
  </si>
  <si>
    <t>Sulfur Dioxide (SO2)</t>
  </si>
  <si>
    <t>Carbon Monoxide (CO)</t>
  </si>
  <si>
    <t>Carbon Dioxide (CO2) - Discount Rate</t>
  </si>
  <si>
    <t>External Cost of Additional Truck Use</t>
  </si>
  <si>
    <t>Single Unit Truck Use</t>
  </si>
  <si>
    <t>Congestion</t>
  </si>
  <si>
    <t>$ per VMT</t>
  </si>
  <si>
    <t>Accidents</t>
  </si>
  <si>
    <t>Noise</t>
  </si>
  <si>
    <t>Freight Vehicles Capacity</t>
  </si>
  <si>
    <t>Average Train Capacity</t>
  </si>
  <si>
    <t>Number of carloads per unit-train</t>
  </si>
  <si>
    <t>carloads per train</t>
  </si>
  <si>
    <t>HDR Assumption, based on US Industry Standards</t>
  </si>
  <si>
    <t>Average carload size, all commodities</t>
  </si>
  <si>
    <t>tons per carload</t>
  </si>
  <si>
    <t>Based on U.S. Government Accountability Office (GAO)'s analysis of data from US DOT, EPA and the Texas Transportation Institute</t>
  </si>
  <si>
    <t>Average length of a Train</t>
  </si>
  <si>
    <t>feet</t>
  </si>
  <si>
    <t>HDR Assumption, based on US Industry Strandards</t>
  </si>
  <si>
    <t>Average Truck Load</t>
  </si>
  <si>
    <t>Cargo weight, all commodities</t>
  </si>
  <si>
    <t>tons per truck</t>
  </si>
  <si>
    <t>HDR average estimate based on freight truck capacities and legal weight limits on public roads (LOW);  Texas Transortation Institute, A Modal Comparison of Domestic Freight Transportation Effects on the General Public, 2009 (HIGH); U.S. Government Accountability Office (MID)</t>
  </si>
  <si>
    <t>$2015 per person-hour</t>
  </si>
  <si>
    <t>Benefit-Cost Analysis (BCA) Resource Guide (November 2016), Revised Departrmental Guidence on Vaulation of Travel Time in Economic Analysis, Revision 2 Corrected</t>
  </si>
  <si>
    <t>Avnnual Average CPI. US Bureau of Labor Statistics</t>
  </si>
  <si>
    <t>Martin Assumption</t>
  </si>
  <si>
    <t>Martin assumption</t>
  </si>
  <si>
    <t/>
  </si>
  <si>
    <t>2015 dollars</t>
  </si>
  <si>
    <t>.</t>
  </si>
  <si>
    <t>Surface Transportation, A Comparison of the Costs of Road, Rail and Waterways Freight Shipments that are not Passsed on to Conusmers, GAO, Report to the Subcommittee on Select Revenue Measures, Committee on Ways and Means House of Representatives, January 2011</t>
  </si>
  <si>
    <t>$/short ton</t>
  </si>
  <si>
    <t>CPI</t>
  </si>
  <si>
    <t>Annual Average CPI</t>
  </si>
  <si>
    <t>PDO accident cost ( no injury)</t>
  </si>
  <si>
    <t>Combination Truck 4 axel</t>
  </si>
  <si>
    <t xml:space="preserve">     Pavement (Urban Interstate)</t>
  </si>
  <si>
    <t xml:space="preserve">Truck Cost Savings </t>
  </si>
  <si>
    <t>Miles/hour within 50 miles</t>
  </si>
  <si>
    <t>Miles/hour greater than 50 miles</t>
  </si>
  <si>
    <t>950 per 11 hours</t>
  </si>
  <si>
    <t xml:space="preserve">Trucking costs </t>
  </si>
  <si>
    <t>Accident Probality/100 million VMT</t>
  </si>
  <si>
    <t xml:space="preserve">Tons per container </t>
  </si>
  <si>
    <t>Martin Associates based on one container per truck each way</t>
  </si>
  <si>
    <t>Sulfur Dioxide (SO2) Truck Only</t>
  </si>
  <si>
    <t xml:space="preserve">Sulfur Dioxide (SO2) </t>
  </si>
  <si>
    <t>NPV Of CO2 @3%</t>
  </si>
  <si>
    <t>Injury Cost</t>
  </si>
  <si>
    <t>Total Safety Cost</t>
  </si>
  <si>
    <t>Average Cost of non death injury</t>
  </si>
  <si>
    <t>avg per non death injury accident</t>
  </si>
  <si>
    <t>EXTERNAL TRUCK COST SAVINGS</t>
  </si>
  <si>
    <t>Cost/VMT</t>
  </si>
  <si>
    <t>Vehicle miles</t>
  </si>
  <si>
    <t>TOTAL NET BENEFITS</t>
  </si>
  <si>
    <t>EMISSIONS</t>
  </si>
  <si>
    <t>SAFETY</t>
  </si>
  <si>
    <t>EXTERNAL TRUCK</t>
  </si>
  <si>
    <t>TOTAL BENEFITS</t>
  </si>
  <si>
    <t>Carbon Dioxide</t>
  </si>
  <si>
    <t>Carbon Dioxide CO2</t>
  </si>
  <si>
    <t>VOC</t>
  </si>
  <si>
    <t xml:space="preserve">Emissions </t>
  </si>
  <si>
    <t>PDO Accident Cost ( no injury)</t>
  </si>
  <si>
    <t>Fatal Accident Cost (K)</t>
  </si>
  <si>
    <t>Accident Probability/100 million VMT</t>
  </si>
  <si>
    <t>NPV AT 7%</t>
  </si>
  <si>
    <t>TRANSPORTATION COST SAVINGS - ECONOMIC COMPETITIVENESS</t>
  </si>
  <si>
    <t>NPV @7% less co2</t>
  </si>
  <si>
    <t>Federal Highway Administration, 1997 Federal Highway Cost Allocation Study, Final Report, USDOT, Federal Highway Administration, May 2000, Table 13</t>
  </si>
  <si>
    <t>Surface Transportation, A Comparison of the Costs of Road, Rail and Waterways Freight Shipments that are not Passed on to Consumers, GAO, Report to the Subcommittee on Select Revenue Measures, Committee on Ways and Means House of Representatives, January 2011</t>
  </si>
  <si>
    <t>ECONOMIC COMPETITIVENESS</t>
  </si>
  <si>
    <t>BENEFITS</t>
  </si>
  <si>
    <t>BENEFIT CATEGORIES</t>
  </si>
  <si>
    <t>7%  DISCOUNT</t>
  </si>
  <si>
    <t>NPV of Safety @3%</t>
  </si>
  <si>
    <t>3% DISCOUNT</t>
  </si>
  <si>
    <t>NPV of External Truck Cost Savings @3%</t>
  </si>
  <si>
    <t>NPV of External Truck Cost Savings @7%</t>
  </si>
  <si>
    <t>NPV of Economic Competitiveness @3%</t>
  </si>
  <si>
    <t>NPV of Economic Competitiveness @7%</t>
  </si>
  <si>
    <t>Martin Associates</t>
  </si>
  <si>
    <t>941 Wheatland Ave. Suite 203</t>
  </si>
  <si>
    <t>Lancaster, PA 17603</t>
  </si>
  <si>
    <t>ENVIRONMENTAL SAVINGS</t>
  </si>
  <si>
    <t>Not Used</t>
  </si>
  <si>
    <t>Total Vehicle Miles Traveled Saved</t>
  </si>
  <si>
    <t>www.johncmartinassociates.com</t>
  </si>
  <si>
    <t>CO2</t>
  </si>
  <si>
    <t>Prepared by :</t>
  </si>
  <si>
    <t xml:space="preserve">NPV of Emissions @3% </t>
  </si>
  <si>
    <t>NPV of Emissions @7%</t>
  </si>
  <si>
    <t>2016 dollars</t>
  </si>
  <si>
    <t>Particulate Matter</t>
  </si>
  <si>
    <t>2000 dollars</t>
  </si>
  <si>
    <t>Combination Truck 4 Axle</t>
  </si>
  <si>
    <t>Year</t>
  </si>
  <si>
    <t>2018 Dollars</t>
  </si>
  <si>
    <t>100,000,000 vehicle miles</t>
  </si>
  <si>
    <t>Fine Particulate Matter</t>
  </si>
  <si>
    <t>Source: US Bureaul of Labor Statistics</t>
  </si>
  <si>
    <t>2019 Dollars</t>
  </si>
  <si>
    <t>2018 $</t>
  </si>
  <si>
    <t>Cost per Mile</t>
  </si>
  <si>
    <t>The Safer Affordable Fuel-Efficient Vehicles Rule for MY2021-MY2026 Passenger Cars and Light Trucks Preliminary Regulatory Impact Analysis (October 2018)”</t>
  </si>
  <si>
    <t>https://www.nhtsa.gov/sites/nhtsa.dot.gov/files/documents/ld_cafe_co2_nhtsa_2127-al76_epa_pria_181016.pdf</t>
  </si>
  <si>
    <t>Values are inflated from 2016 dollars to 2018 dollars using the GDP deflator.</t>
  </si>
  <si>
    <t>Short tons per container</t>
  </si>
  <si>
    <t>Commerical Trucks</t>
  </si>
  <si>
    <t>Based on actual tonnage data and full and empty containers on the Asian services now serving Florida, Martin Associates proprietary data base</t>
  </si>
  <si>
    <t>TONS EMITTED BY MODE PER TON MILE</t>
  </si>
  <si>
    <t>Fuel Consumption for average truck</t>
  </si>
  <si>
    <t>6.4 Miles per Gallon</t>
  </si>
  <si>
    <t>Analysis of the Operational Costs of Trucking: 2018 Update, Prepared by the American Transportaton Research Institute, October 2018</t>
  </si>
  <si>
    <t>Federal Diesel Tax per Gallon</t>
  </si>
  <si>
    <t>Gallons Saved</t>
  </si>
  <si>
    <t>Reduced Federal Fuel Tax</t>
  </si>
  <si>
    <t>Ton Miles Saved</t>
  </si>
  <si>
    <t>Total External Truck Cost Savings less Federal Fuel Tax</t>
  </si>
  <si>
    <t>Assumption: Trucker Time Value per Hour</t>
  </si>
  <si>
    <t>Value of Truck Driver Time per Hour</t>
  </si>
  <si>
    <t xml:space="preserve">Operating Costs </t>
  </si>
  <si>
    <t>Value of Trucker Time</t>
  </si>
  <si>
    <t>Truck Trips per container</t>
  </si>
  <si>
    <t>Trucks Container One Way Move</t>
  </si>
  <si>
    <t>Assumption: Average Truck Speed in Miles per Hour</t>
  </si>
  <si>
    <t>TONS EMITTED PER MILLION TON MILES</t>
  </si>
  <si>
    <t>Martin Associates Interviews with Trucking companines   $950/day, average 40/MPH over the road, 30 mph local; American Transportation Research Institute (ATRI), An Analysis of the Operational Costs of Trucking, 2018.</t>
  </si>
  <si>
    <t>NPV @3% less co2</t>
  </si>
  <si>
    <t>Pavement Less Federal Fuel Tax</t>
  </si>
  <si>
    <t>PROJECTED TRUCK TRIPS BASED ON SERVING SW FLORIDA POPULATION</t>
  </si>
  <si>
    <t>Fuel Consumption Miles per Gallon</t>
  </si>
  <si>
    <t>value of savings=VMT saved*value of external event</t>
  </si>
  <si>
    <t>Safety benefit = probability of accident *100,000,000 VMT saved*value accident type</t>
  </si>
  <si>
    <t xml:space="preserve">Cost/Short Ton Emitted </t>
  </si>
  <si>
    <t>see below</t>
  </si>
  <si>
    <t>Emission Type</t>
  </si>
  <si>
    <t>NOX</t>
  </si>
  <si>
    <t>SO2</t>
  </si>
  <si>
    <t>PM2.5**</t>
  </si>
  <si>
    <t>see Chart beginning in Cell P78</t>
  </si>
  <si>
    <t>New Montetized Values are From:</t>
  </si>
  <si>
    <t>Projected Volume Assumptions</t>
  </si>
  <si>
    <t>Annual ShortTons</t>
  </si>
  <si>
    <t>ton miles</t>
  </si>
  <si>
    <t>Value of Emission Tons Savings due to Truck ton mile reductions</t>
  </si>
  <si>
    <t xml:space="preserve">Total Emission savings </t>
  </si>
  <si>
    <t>Schedule of emission monetized values</t>
  </si>
  <si>
    <t>NPV of Safety@7%</t>
  </si>
  <si>
    <t>Vehicle Miles Saved</t>
  </si>
  <si>
    <t>Hours saved</t>
  </si>
  <si>
    <t>Value of trucker time saved = vehicle miles saved divided by 40 MPH =hours saved * Trucker Value of Time</t>
  </si>
  <si>
    <t xml:space="preserve">Total Truck Savings </t>
  </si>
  <si>
    <t>Fine Particulate Matter (PM2.5)</t>
  </si>
  <si>
    <t xml:space="preserve">Short tons emitted </t>
  </si>
  <si>
    <t>Annual throughput</t>
  </si>
  <si>
    <t>Current Destinations</t>
  </si>
  <si>
    <t>\</t>
  </si>
  <si>
    <t xml:space="preserve">VMT saved = Truck trips * mileage savings </t>
  </si>
  <si>
    <t xml:space="preserve">Ton Miles = one-way miles* tons </t>
  </si>
  <si>
    <t>Short tons emitted=million ton miles saved*tons of emissions per million ton miles</t>
  </si>
  <si>
    <t xml:space="preserve">Value of emissions saved = metric tons emitted saved*value per metric ton of emissions </t>
  </si>
  <si>
    <t>Truck Vehicle Miles Saved = Truck Trips * Miles Saved per Tripwith empty backhaul</t>
  </si>
  <si>
    <t>Average Miles Saved</t>
  </si>
  <si>
    <t>Assume empty backhaul</t>
  </si>
  <si>
    <t xml:space="preserve">PROJECTED TRUCK TRIPS </t>
  </si>
  <si>
    <t xml:space="preserve"> TON MILE OR VEHICLE MILES TRAVELED SAVINGS</t>
  </si>
  <si>
    <t>SAFETY BENEFITS</t>
  </si>
  <si>
    <t>containers loaded</t>
  </si>
  <si>
    <t>containers empty retrun</t>
  </si>
  <si>
    <t>tons per truck one way full</t>
  </si>
  <si>
    <t>base containers</t>
  </si>
  <si>
    <t>total containers</t>
  </si>
  <si>
    <t>total truck trips</t>
  </si>
  <si>
    <t>7% DISCOUNT</t>
  </si>
  <si>
    <t>TRUCK COST PER MILE</t>
  </si>
  <si>
    <t>NET SAVINGS</t>
  </si>
  <si>
    <t>Miles Saved with ICTF</t>
  </si>
  <si>
    <t xml:space="preserve">Miles Saved </t>
  </si>
  <si>
    <t>Moves</t>
  </si>
  <si>
    <t>capacity</t>
  </si>
  <si>
    <t>starts in 2025</t>
  </si>
  <si>
    <t>Tons per truck one way</t>
  </si>
  <si>
    <t>Prepared for the:</t>
  </si>
  <si>
    <t>ALABAMA STATE PORT AUTHORITY</t>
  </si>
  <si>
    <t>250 N. Water Street</t>
  </si>
  <si>
    <t>Mobile, AL 36602</t>
  </si>
  <si>
    <t>www.asdd.com</t>
  </si>
  <si>
    <t>Not used</t>
  </si>
  <si>
    <t>2020$</t>
  </si>
  <si>
    <t>Traffic accident incident per 100 million miles from BTS Motor Vehicle Safety Data, 2015 National Transportation Statistics, 2015 ; Benefit Cost Analysis Guidance for Discretionary Grant  Programs, Office of the Secretary, US Department of Transportation, March 2022, Table A-1: Vlaue of Reduced Fatalities and Injuries</t>
  </si>
  <si>
    <t>Benefit Cost Analysis Guidance for Discretionary Grant  Programs, Office of the Secretary, US Department of Transportation, March 2022 table A-6</t>
  </si>
  <si>
    <t xml:space="preserve">The Monetized value of co2 is from Table A-6 Benefit Cost Analysis for Discretionary Grant Programs,  </t>
  </si>
  <si>
    <t>Office of the Secretary, Department of Transportation, January 2021</t>
  </si>
  <si>
    <t>2020 dollars</t>
  </si>
  <si>
    <t>Federal Highway Administration, 1997 Federal Highway Cost Allocation Study, Final Report, USDOT, Federal Highway Administration, May 2000, Table 13 and Table A-13  Benefit Cost Guidance for Discetionary Grant Programs, U.S. Department of Transportation, Office of the Secretart, Tabel A-13, March 2022</t>
  </si>
  <si>
    <t xml:space="preserve"> Benefit Cost Analysis Guidance for Discretionary Grant Programs
Office of the Secretary
U.S. Department of Transportation March 2022; Table A.3 Valuue of Travel Time Savings</t>
  </si>
  <si>
    <t xml:space="preserve"> Benefit Cost Analysis Guidance for Discretionary Grant Programs
Office of the Secretary
U.S. Department of Transportation March 2022; Table A.5 Vehicle Opeprating Costs</t>
  </si>
  <si>
    <t>Operating cost savings=$.94*VMT saved</t>
  </si>
  <si>
    <t>Value per Accident, 2020$</t>
  </si>
  <si>
    <t>additional capacity</t>
  </si>
  <si>
    <t>Mileage Savings with new capacity</t>
  </si>
  <si>
    <t>Container Moves</t>
  </si>
  <si>
    <t>MOBILE CONTAINER TERMINAL PHASE IV EXPANSION</t>
  </si>
  <si>
    <t>CAPEX AND MAINTENACE</t>
  </si>
  <si>
    <t>Engineering</t>
  </si>
  <si>
    <t>CAPEX</t>
  </si>
  <si>
    <t>Bulkhead Extension</t>
  </si>
  <si>
    <t>% CAPEX</t>
  </si>
  <si>
    <t>Maintenance</t>
  </si>
  <si>
    <t>Land Reclamation</t>
  </si>
  <si>
    <t>Container Yard</t>
  </si>
  <si>
    <t>Total</t>
  </si>
  <si>
    <t>PRESENT VALUE AT 7%</t>
  </si>
  <si>
    <t xml:space="preserve"> BENEFITS OF YARD EXPANSION</t>
  </si>
  <si>
    <t>PRESENT VALUE OF BENEFITS @7%</t>
  </si>
  <si>
    <t>PRESENT VALUE OF PROJECT COSTS @7%</t>
  </si>
  <si>
    <t xml:space="preserve">BENFIT COST RATIO </t>
  </si>
  <si>
    <t>BENEFIT COST RATIO</t>
  </si>
  <si>
    <t>BENEFIT-COST SPREADSHEET MODEL FOR PHASE 4 MOBILE CONTAINER TERMINAL EXPANSION - PIDP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</si>
</sst>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3" formatCode="_(* #,##0.00_);_(* \(#,##0.00\);_(* &quot;-&quot;??_);_(@_)"/>
    <numFmt numFmtId="164" formatCode="0.00000"/>
    <numFmt numFmtId="165" formatCode="#,##0.00000"/>
    <numFmt numFmtId="166" formatCode="&quot;$&quot;#,##0.0"/>
    <numFmt numFmtId="167" formatCode="&quot;$&quot;#,##0.00"/>
    <numFmt numFmtId="168" formatCode="0.0%"/>
    <numFmt numFmtId="169" formatCode="&quot;$&quot;#,##0"/>
    <numFmt numFmtId="170" formatCode="_(* #,##0_);_(* \(#,##0\);_(* &quot;-&quot;??_);_(@_)"/>
    <numFmt numFmtId="171" formatCode="&quot;$&quot;#,##0.0000"/>
    <numFmt numFmtId="172" formatCode="#,##0.0"/>
    <numFmt numFmtId="173" formatCode="0.0000E+00"/>
    <numFmt numFmtId="174" formatCode="0.00000000000"/>
    <numFmt numFmtId="175" formatCode="[$-409]mmmm\ d\,\ yyyy;@"/>
    <numFmt numFmtId="176" formatCode="_(* #,##0.0_);_(* \(#,##0.0\);_(* &quot;-&quot;??_);_(@_)"/>
    <numFmt numFmtId="177" formatCode="_(* #,##0.0_);_(* \(#,##0.0\);_(* &quot;-&quot;?_);_(@_)"/>
    <numFmt numFmtId="178" formatCode="\$#,##0"/>
  </numFmts>
  <fonts count="34" x14ac:knownFonts="1">
    <font>
      <sz val="11"/>
      <color theme="1"/>
      <name val="Calibri"/>
      <family val="2"/>
      <scheme val="minor"/>
    </font>
    <font>
      <sz val="11"/>
      <color theme="1"/>
      <name val="Calibri"/>
      <family val="2"/>
      <scheme val="minor"/>
    </font>
    <font>
      <b/>
      <sz val="13"/>
      <color theme="3"/>
      <name val="Calibri"/>
      <family val="2"/>
      <scheme val="minor"/>
    </font>
    <font>
      <b/>
      <sz val="11"/>
      <color theme="1"/>
      <name val="Calibri"/>
      <family val="2"/>
      <scheme val="minor"/>
    </font>
    <font>
      <sz val="14"/>
      <color theme="1"/>
      <name val="Calibri"/>
      <family val="2"/>
      <scheme val="minor"/>
    </font>
    <font>
      <sz val="14"/>
      <color theme="0"/>
      <name val="Calibri"/>
      <family val="2"/>
      <scheme val="minor"/>
    </font>
    <font>
      <b/>
      <sz val="14"/>
      <color theme="0"/>
      <name val="Calibri"/>
      <family val="2"/>
      <scheme val="minor"/>
    </font>
    <font>
      <sz val="13"/>
      <color theme="1"/>
      <name val="Calibri"/>
      <family val="2"/>
      <scheme val="minor"/>
    </font>
    <font>
      <sz val="13"/>
      <color theme="0"/>
      <name val="Calibri"/>
      <family val="2"/>
      <scheme val="minor"/>
    </font>
    <font>
      <b/>
      <sz val="13"/>
      <color theme="0"/>
      <name val="Calibri"/>
      <family val="2"/>
      <scheme val="minor"/>
    </font>
    <font>
      <sz val="11"/>
      <color theme="1"/>
      <name val="Calibri"/>
      <family val="2"/>
    </font>
    <font>
      <i/>
      <sz val="11"/>
      <color theme="1"/>
      <name val="Calibri"/>
      <family val="2"/>
      <scheme val="minor"/>
    </font>
    <font>
      <i/>
      <sz val="11"/>
      <color theme="1"/>
      <name val="Calibri"/>
      <family val="2"/>
    </font>
    <font>
      <i/>
      <sz val="13"/>
      <color theme="0"/>
      <name val="Calibri"/>
      <family val="2"/>
      <scheme val="minor"/>
    </font>
    <font>
      <b/>
      <sz val="11"/>
      <color theme="1" tint="4.9989318521683403E-2"/>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11"/>
      <name val="Calibri"/>
      <family val="2"/>
      <scheme val="minor"/>
    </font>
    <font>
      <u/>
      <sz val="11"/>
      <color theme="10"/>
      <name val="Calibri"/>
      <family val="2"/>
      <scheme val="minor"/>
    </font>
    <font>
      <b/>
      <sz val="22"/>
      <color theme="1"/>
      <name val="Times New Roman"/>
      <family val="1"/>
    </font>
    <font>
      <u/>
      <sz val="20"/>
      <color theme="10"/>
      <name val="Calibri"/>
      <family val="2"/>
      <scheme val="minor"/>
    </font>
    <font>
      <sz val="20"/>
      <color theme="1"/>
      <name val="Calibri"/>
      <family val="2"/>
      <scheme val="minor"/>
    </font>
    <font>
      <b/>
      <sz val="22"/>
      <color theme="1"/>
      <name val="Calibri"/>
      <family val="2"/>
      <scheme val="minor"/>
    </font>
    <font>
      <sz val="22"/>
      <color theme="1"/>
      <name val="Times New Roman"/>
      <family val="1"/>
    </font>
    <font>
      <sz val="18"/>
      <color theme="1"/>
      <name val="Calibri"/>
      <family val="2"/>
      <scheme val="minor"/>
    </font>
    <font>
      <b/>
      <sz val="26"/>
      <color theme="1"/>
      <name val="Times New Roman"/>
      <family val="1"/>
    </font>
    <font>
      <sz val="6"/>
      <color theme="1"/>
      <name val="Calibri"/>
      <family val="2"/>
      <scheme val="minor"/>
    </font>
    <font>
      <sz val="10"/>
      <color theme="1"/>
      <name val="Calibri"/>
      <family val="2"/>
      <scheme val="minor"/>
    </font>
    <font>
      <sz val="11"/>
      <name val="Calibri"/>
      <family val="2"/>
      <scheme val="minor"/>
    </font>
    <font>
      <b/>
      <sz val="18"/>
      <color rgb="FF1F4E79"/>
      <name val="Calibri"/>
      <family val="2"/>
      <scheme val="minor"/>
    </font>
    <font>
      <b/>
      <i/>
      <sz val="18"/>
      <color rgb="FF1F4E79"/>
      <name val="Calibri"/>
      <family val="2"/>
      <scheme val="minor"/>
    </font>
    <font>
      <u/>
      <sz val="18"/>
      <color theme="10"/>
      <name val="Calibri"/>
      <family val="2"/>
      <scheme val="minor"/>
    </font>
    <font>
      <b/>
      <i/>
      <sz val="11"/>
      <color theme="1"/>
      <name val="Calibri"/>
      <family val="2"/>
      <scheme val="minor"/>
    </font>
  </fonts>
  <fills count="21">
    <fill>
      <patternFill patternType="none"/>
    </fill>
    <fill>
      <patternFill patternType="gray125"/>
    </fill>
    <fill>
      <patternFill patternType="solid">
        <fgColor theme="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rgb="FF0070C0"/>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5" tint="0.39997558519241921"/>
        <bgColor indexed="64"/>
      </patternFill>
    </fill>
  </fills>
  <borders count="42">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19" fillId="0" borderId="0" applyNumberFormat="0" applyFill="0" applyBorder="0" applyAlignment="0" applyProtection="0"/>
  </cellStyleXfs>
  <cellXfs count="435">
    <xf numFmtId="0" fontId="0" fillId="0" borderId="0" xfId="0"/>
    <xf numFmtId="0" fontId="0" fillId="0" borderId="0" xfId="0"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6" fillId="2" borderId="0" xfId="3" applyFont="1" applyFill="1" applyBorder="1" applyAlignment="1">
      <alignment vertical="center"/>
    </xf>
    <xf numFmtId="0" fontId="6" fillId="2" borderId="0" xfId="3" applyFont="1" applyFill="1" applyBorder="1" applyAlignment="1">
      <alignment horizontal="center" vertical="center"/>
    </xf>
    <xf numFmtId="0" fontId="7" fillId="0" borderId="0" xfId="0" applyFont="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8" fillId="3" borderId="0" xfId="0" applyFont="1" applyFill="1" applyAlignment="1">
      <alignment horizontal="center" vertical="center" wrapText="1"/>
    </xf>
    <xf numFmtId="9" fontId="10" fillId="4" borderId="2" xfId="2" applyFont="1" applyFill="1" applyBorder="1" applyAlignment="1">
      <alignment vertical="center"/>
    </xf>
    <xf numFmtId="1" fontId="10" fillId="4" borderId="2" xfId="2" applyNumberFormat="1" applyFont="1" applyFill="1" applyBorder="1" applyAlignment="1">
      <alignment vertical="center"/>
    </xf>
    <xf numFmtId="0" fontId="0" fillId="0" borderId="0" xfId="0" applyAlignment="1">
      <alignment horizontal="left" vertical="center" indent="2"/>
    </xf>
    <xf numFmtId="0" fontId="11" fillId="0" borderId="2" xfId="0" applyFont="1" applyBorder="1" applyAlignment="1">
      <alignment horizontal="center" vertical="center" wrapText="1"/>
    </xf>
    <xf numFmtId="3" fontId="0" fillId="4" borderId="2" xfId="0" applyNumberFormat="1" applyFill="1" applyBorder="1" applyAlignment="1">
      <alignment vertical="center"/>
    </xf>
    <xf numFmtId="0" fontId="12" fillId="0" borderId="2" xfId="0" applyFont="1" applyBorder="1" applyAlignment="1">
      <alignment horizontal="center" vertical="center"/>
    </xf>
    <xf numFmtId="164" fontId="0" fillId="4" borderId="2" xfId="0" applyNumberFormat="1" applyFill="1" applyBorder="1" applyAlignment="1">
      <alignment vertical="center"/>
    </xf>
    <xf numFmtId="164" fontId="10" fillId="4" borderId="2" xfId="0" applyNumberFormat="1" applyFont="1" applyFill="1" applyBorder="1" applyAlignment="1">
      <alignment vertical="center"/>
    </xf>
    <xf numFmtId="4" fontId="10" fillId="4" borderId="2" xfId="0" applyNumberFormat="1" applyFont="1" applyFill="1" applyBorder="1" applyAlignment="1">
      <alignment vertical="center"/>
    </xf>
    <xf numFmtId="3" fontId="10" fillId="4" borderId="2" xfId="0" applyNumberFormat="1" applyFont="1" applyFill="1" applyBorder="1" applyAlignment="1">
      <alignment vertical="center"/>
    </xf>
    <xf numFmtId="165" fontId="10" fillId="4" borderId="2" xfId="0" applyNumberFormat="1" applyFont="1" applyFill="1" applyBorder="1" applyAlignment="1">
      <alignment vertical="center"/>
    </xf>
    <xf numFmtId="0" fontId="13" fillId="3" borderId="0" xfId="0" applyFont="1" applyFill="1" applyAlignment="1">
      <alignment horizontal="center" vertical="center" wrapText="1"/>
    </xf>
    <xf numFmtId="0" fontId="11" fillId="0" borderId="0" xfId="0" applyFont="1" applyAlignment="1">
      <alignment horizontal="center" vertical="center" wrapText="1"/>
    </xf>
    <xf numFmtId="166"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left" vertical="center"/>
    </xf>
    <xf numFmtId="166" fontId="0" fillId="4" borderId="2" xfId="0" applyNumberFormat="1" applyFill="1" applyBorder="1" applyAlignment="1">
      <alignment vertical="center"/>
    </xf>
    <xf numFmtId="0" fontId="0" fillId="0" borderId="2" xfId="0" applyBorder="1" applyAlignment="1">
      <alignment horizontal="center" vertical="center"/>
    </xf>
    <xf numFmtId="167" fontId="0" fillId="4" borderId="2" xfId="0" applyNumberFormat="1" applyFill="1" applyBorder="1" applyAlignment="1">
      <alignment vertical="center"/>
    </xf>
    <xf numFmtId="4" fontId="0" fillId="4" borderId="2" xfId="0" applyNumberFormat="1" applyFill="1" applyBorder="1" applyAlignment="1">
      <alignment vertical="center"/>
    </xf>
    <xf numFmtId="0" fontId="11" fillId="0" borderId="0" xfId="0" applyFont="1" applyAlignment="1">
      <alignment vertical="center"/>
    </xf>
    <xf numFmtId="0" fontId="0" fillId="0" borderId="0" xfId="0" applyAlignment="1">
      <alignment horizontal="right" vertical="center"/>
    </xf>
    <xf numFmtId="170" fontId="0" fillId="0" borderId="0" xfId="1" applyNumberFormat="1" applyFont="1" applyAlignment="1">
      <alignment vertical="center"/>
    </xf>
    <xf numFmtId="169" fontId="0" fillId="4" borderId="2" xfId="0" applyNumberFormat="1" applyFill="1" applyBorder="1" applyAlignment="1">
      <alignment vertical="center"/>
    </xf>
    <xf numFmtId="0" fontId="0" fillId="4" borderId="2" xfId="0" applyFill="1" applyBorder="1" applyAlignment="1">
      <alignment vertical="center"/>
    </xf>
    <xf numFmtId="0" fontId="0" fillId="0" borderId="0" xfId="0" applyFill="1" applyBorder="1" applyAlignment="1">
      <alignment vertical="center"/>
    </xf>
    <xf numFmtId="0" fontId="0" fillId="0" borderId="2" xfId="0" applyBorder="1" applyAlignment="1">
      <alignment vertical="center" wrapText="1"/>
    </xf>
    <xf numFmtId="168" fontId="0" fillId="0" borderId="0" xfId="2" applyNumberFormat="1" applyFont="1" applyFill="1" applyBorder="1" applyAlignment="1">
      <alignment vertical="center"/>
    </xf>
    <xf numFmtId="171" fontId="0" fillId="4" borderId="2" xfId="0" applyNumberFormat="1" applyFill="1" applyBorder="1" applyAlignment="1">
      <alignment vertical="center"/>
    </xf>
    <xf numFmtId="171" fontId="0" fillId="0" borderId="0" xfId="2" applyNumberFormat="1" applyFont="1" applyFill="1" applyBorder="1" applyAlignment="1">
      <alignment vertical="center"/>
    </xf>
    <xf numFmtId="0" fontId="0" fillId="0" borderId="2" xfId="0" applyBorder="1" applyAlignment="1">
      <alignment vertical="center"/>
    </xf>
    <xf numFmtId="172" fontId="0" fillId="4" borderId="2" xfId="0" applyNumberFormat="1" applyFill="1" applyBorder="1" applyAlignment="1">
      <alignment vertical="center"/>
    </xf>
    <xf numFmtId="0" fontId="0" fillId="5" borderId="0" xfId="0" applyFill="1" applyAlignment="1">
      <alignment vertical="center"/>
    </xf>
    <xf numFmtId="0" fontId="3" fillId="5" borderId="0" xfId="0" applyFont="1" applyFill="1" applyAlignment="1">
      <alignment vertical="center"/>
    </xf>
    <xf numFmtId="166" fontId="0" fillId="5" borderId="0" xfId="0" applyNumberFormat="1" applyFill="1" applyAlignment="1">
      <alignment horizontal="right" vertical="center"/>
    </xf>
    <xf numFmtId="0" fontId="0" fillId="5" borderId="0" xfId="0" applyFill="1" applyAlignment="1">
      <alignment horizontal="left" vertical="center" indent="2"/>
    </xf>
    <xf numFmtId="0" fontId="11" fillId="5" borderId="2" xfId="0" applyFont="1" applyFill="1" applyBorder="1" applyAlignment="1">
      <alignment horizontal="center" vertical="center" wrapText="1"/>
    </xf>
    <xf numFmtId="166" fontId="0" fillId="5" borderId="2" xfId="0" applyNumberFormat="1" applyFill="1" applyBorder="1" applyAlignment="1">
      <alignment horizontal="right" vertical="center"/>
    </xf>
    <xf numFmtId="0" fontId="0" fillId="5" borderId="0" xfId="0" applyFill="1"/>
    <xf numFmtId="0" fontId="0" fillId="5" borderId="2" xfId="0" applyFill="1" applyBorder="1" applyAlignment="1">
      <alignment vertical="center" wrapText="1"/>
    </xf>
    <xf numFmtId="171" fontId="0" fillId="5" borderId="2" xfId="0" applyNumberFormat="1" applyFill="1" applyBorder="1" applyAlignment="1">
      <alignment vertical="center"/>
    </xf>
    <xf numFmtId="171" fontId="0" fillId="0" borderId="2" xfId="2" applyNumberFormat="1" applyFont="1" applyFill="1" applyBorder="1" applyAlignment="1">
      <alignment vertical="center"/>
    </xf>
    <xf numFmtId="0" fontId="16" fillId="6" borderId="0" xfId="0" applyFont="1" applyFill="1" applyAlignment="1">
      <alignment vertical="center"/>
    </xf>
    <xf numFmtId="0" fontId="16" fillId="6" borderId="0" xfId="0" applyFont="1" applyFill="1" applyAlignment="1">
      <alignment horizontal="center" vertical="center" wrapText="1"/>
    </xf>
    <xf numFmtId="165" fontId="0" fillId="4" borderId="2" xfId="0" applyNumberFormat="1" applyFill="1" applyBorder="1" applyAlignment="1">
      <alignment vertical="center"/>
    </xf>
    <xf numFmtId="169" fontId="0" fillId="4" borderId="8" xfId="0" applyNumberFormat="1" applyFill="1" applyBorder="1" applyAlignment="1">
      <alignment vertical="center"/>
    </xf>
    <xf numFmtId="10" fontId="0" fillId="4" borderId="9" xfId="2" applyNumberFormat="1" applyFont="1" applyFill="1" applyBorder="1" applyAlignment="1">
      <alignment vertical="center"/>
    </xf>
    <xf numFmtId="169" fontId="0" fillId="4" borderId="9" xfId="0" applyNumberFormat="1" applyFill="1" applyBorder="1" applyAlignment="1">
      <alignment vertical="center"/>
    </xf>
    <xf numFmtId="165" fontId="0" fillId="4" borderId="5" xfId="0" applyNumberFormat="1" applyFill="1" applyBorder="1" applyAlignment="1">
      <alignment vertical="center"/>
    </xf>
    <xf numFmtId="0" fontId="0" fillId="0" borderId="0" xfId="0" applyBorder="1"/>
    <xf numFmtId="0" fontId="0" fillId="0" borderId="17" xfId="0" applyBorder="1"/>
    <xf numFmtId="0" fontId="0" fillId="0" borderId="18" xfId="0" applyBorder="1"/>
    <xf numFmtId="3" fontId="0" fillId="0" borderId="0" xfId="0" applyNumberFormat="1"/>
    <xf numFmtId="0" fontId="0" fillId="6" borderId="0" xfId="0" applyFill="1"/>
    <xf numFmtId="0" fontId="16" fillId="6" borderId="0" xfId="0" applyFont="1" applyFill="1"/>
    <xf numFmtId="0" fontId="15" fillId="6" borderId="0" xfId="0" applyFont="1" applyFill="1"/>
    <xf numFmtId="0" fontId="3" fillId="0" borderId="0" xfId="0" applyFont="1"/>
    <xf numFmtId="167" fontId="0" fillId="0" borderId="0" xfId="0" applyNumberFormat="1"/>
    <xf numFmtId="8" fontId="0" fillId="0" borderId="0" xfId="0" applyNumberFormat="1"/>
    <xf numFmtId="0" fontId="17" fillId="6" borderId="0" xfId="0" applyFont="1" applyFill="1"/>
    <xf numFmtId="169" fontId="0" fillId="0" borderId="0" xfId="0" applyNumberFormat="1"/>
    <xf numFmtId="165" fontId="0" fillId="0" borderId="0" xfId="0" applyNumberFormat="1"/>
    <xf numFmtId="169" fontId="0" fillId="4" borderId="6" xfId="0" applyNumberFormat="1" applyFill="1" applyBorder="1" applyAlignment="1">
      <alignment vertical="center"/>
    </xf>
    <xf numFmtId="0" fontId="0" fillId="0" borderId="10" xfId="0" applyBorder="1" applyAlignment="1">
      <alignment vertical="center" wrapText="1"/>
    </xf>
    <xf numFmtId="43" fontId="0" fillId="0" borderId="0" xfId="1" applyFont="1"/>
    <xf numFmtId="0" fontId="3" fillId="10" borderId="16" xfId="0" applyFont="1" applyFill="1" applyBorder="1"/>
    <xf numFmtId="0" fontId="15" fillId="11" borderId="11" xfId="0" applyFont="1" applyFill="1" applyBorder="1"/>
    <xf numFmtId="174" fontId="0" fillId="0" borderId="0" xfId="0" applyNumberFormat="1"/>
    <xf numFmtId="0" fontId="16" fillId="0" borderId="0" xfId="0" applyFont="1" applyFill="1"/>
    <xf numFmtId="0" fontId="3" fillId="0" borderId="14" xfId="0" applyFont="1" applyBorder="1"/>
    <xf numFmtId="0" fontId="15" fillId="11" borderId="13" xfId="0" applyFont="1" applyFill="1" applyBorder="1" applyAlignment="1">
      <alignment horizontal="right"/>
    </xf>
    <xf numFmtId="0" fontId="3" fillId="10" borderId="14" xfId="0" applyFont="1" applyFill="1" applyBorder="1"/>
    <xf numFmtId="8" fontId="3" fillId="10" borderId="15" xfId="0" applyNumberFormat="1" applyFont="1" applyFill="1" applyBorder="1"/>
    <xf numFmtId="8" fontId="3" fillId="0" borderId="15" xfId="0" applyNumberFormat="1" applyFont="1" applyBorder="1"/>
    <xf numFmtId="0" fontId="0" fillId="0" borderId="0" xfId="0" applyFill="1" applyBorder="1"/>
    <xf numFmtId="167" fontId="3" fillId="0" borderId="0" xfId="0" applyNumberFormat="1" applyFont="1"/>
    <xf numFmtId="0" fontId="20" fillId="0" borderId="0" xfId="0" applyFont="1"/>
    <xf numFmtId="0" fontId="15" fillId="0" borderId="0" xfId="0" applyFont="1" applyFill="1" applyBorder="1"/>
    <xf numFmtId="0" fontId="3" fillId="0" borderId="0" xfId="0" applyFont="1" applyFill="1" applyBorder="1"/>
    <xf numFmtId="0" fontId="15" fillId="0" borderId="0" xfId="0" applyFont="1" applyFill="1" applyBorder="1" applyAlignment="1">
      <alignment wrapText="1"/>
    </xf>
    <xf numFmtId="0" fontId="15" fillId="0" borderId="0" xfId="0" applyFont="1" applyFill="1" applyBorder="1" applyAlignment="1">
      <alignment vertical="top" wrapText="1"/>
    </xf>
    <xf numFmtId="43" fontId="0" fillId="0" borderId="0" xfId="0" applyNumberFormat="1"/>
    <xf numFmtId="175" fontId="20" fillId="0" borderId="0" xfId="0" quotePrefix="1" applyNumberFormat="1" applyFont="1" applyAlignment="1">
      <alignment horizontal="left"/>
    </xf>
    <xf numFmtId="3" fontId="16" fillId="0" borderId="0" xfId="0" applyNumberFormat="1" applyFont="1" applyFill="1"/>
    <xf numFmtId="0" fontId="3" fillId="0" borderId="0" xfId="0" applyFont="1" applyFill="1" applyBorder="1" applyAlignment="1">
      <alignment wrapText="1"/>
    </xf>
    <xf numFmtId="3" fontId="0" fillId="0" borderId="0" xfId="0" applyNumberFormat="1" applyFill="1" applyBorder="1"/>
    <xf numFmtId="172" fontId="0" fillId="0" borderId="0" xfId="0" applyNumberFormat="1" applyFill="1" applyBorder="1"/>
    <xf numFmtId="0" fontId="3" fillId="0" borderId="0" xfId="0" applyFont="1" applyFill="1" applyBorder="1" applyAlignment="1">
      <alignment horizontal="right"/>
    </xf>
    <xf numFmtId="172" fontId="3" fillId="0" borderId="0" xfId="0" applyNumberFormat="1" applyFont="1" applyFill="1" applyBorder="1"/>
    <xf numFmtId="0" fontId="0" fillId="0" borderId="0" xfId="0" applyFill="1"/>
    <xf numFmtId="167" fontId="3" fillId="0" borderId="0" xfId="0" applyNumberFormat="1" applyFont="1" applyFill="1" applyBorder="1"/>
    <xf numFmtId="0" fontId="20" fillId="0" borderId="0" xfId="0" applyFont="1" applyFill="1"/>
    <xf numFmtId="0" fontId="21" fillId="0" borderId="0" xfId="4" applyFont="1"/>
    <xf numFmtId="0" fontId="22" fillId="0" borderId="0" xfId="0" applyFont="1"/>
    <xf numFmtId="0" fontId="23" fillId="0" borderId="0" xfId="0" applyFont="1" applyAlignment="1">
      <alignment wrapText="1"/>
    </xf>
    <xf numFmtId="0" fontId="24" fillId="0" borderId="0" xfId="0" applyFont="1"/>
    <xf numFmtId="0" fontId="25" fillId="0" borderId="0" xfId="0" applyFont="1" applyAlignment="1">
      <alignment wrapText="1"/>
    </xf>
    <xf numFmtId="166" fontId="0" fillId="10" borderId="2" xfId="0" applyNumberFormat="1" applyFill="1" applyBorder="1" applyAlignment="1">
      <alignment vertical="center"/>
    </xf>
    <xf numFmtId="0" fontId="0" fillId="10" borderId="0" xfId="0" applyFill="1" applyAlignment="1">
      <alignment vertical="center"/>
    </xf>
    <xf numFmtId="164" fontId="0" fillId="10" borderId="10" xfId="0" applyNumberFormat="1" applyFill="1" applyBorder="1" applyAlignment="1">
      <alignment vertical="center"/>
    </xf>
    <xf numFmtId="3" fontId="0" fillId="10" borderId="2" xfId="0" applyNumberFormat="1" applyFill="1" applyBorder="1" applyAlignment="1">
      <alignment vertical="center"/>
    </xf>
    <xf numFmtId="172" fontId="0" fillId="10" borderId="2" xfId="0" applyNumberFormat="1" applyFill="1" applyBorder="1" applyAlignment="1">
      <alignment vertical="center"/>
    </xf>
    <xf numFmtId="0" fontId="3" fillId="0" borderId="2" xfId="0" applyFont="1" applyBorder="1"/>
    <xf numFmtId="3" fontId="0" fillId="0" borderId="2" xfId="0" applyNumberFormat="1" applyBorder="1"/>
    <xf numFmtId="0" fontId="0" fillId="0" borderId="2" xfId="0" applyBorder="1"/>
    <xf numFmtId="0" fontId="0" fillId="0" borderId="2" xfId="0" applyFill="1" applyBorder="1"/>
    <xf numFmtId="0" fontId="15" fillId="11" borderId="2" xfId="0" applyFont="1" applyFill="1" applyBorder="1"/>
    <xf numFmtId="0" fontId="15" fillId="11" borderId="2" xfId="0" applyFont="1" applyFill="1" applyBorder="1" applyAlignment="1">
      <alignment horizontal="right" wrapText="1"/>
    </xf>
    <xf numFmtId="0" fontId="15" fillId="11" borderId="2" xfId="0" applyFont="1" applyFill="1" applyBorder="1" applyAlignment="1">
      <alignment wrapText="1"/>
    </xf>
    <xf numFmtId="167" fontId="0" fillId="0" borderId="2" xfId="0" applyNumberFormat="1" applyBorder="1"/>
    <xf numFmtId="0" fontId="27" fillId="0" borderId="0" xfId="0" applyFont="1"/>
    <xf numFmtId="0" fontId="18" fillId="11" borderId="2" xfId="0" applyFont="1" applyFill="1" applyBorder="1"/>
    <xf numFmtId="169" fontId="15" fillId="11" borderId="2" xfId="0" applyNumberFormat="1" applyFont="1" applyFill="1" applyBorder="1" applyAlignment="1">
      <alignment horizontal="right" vertical="top" wrapText="1"/>
    </xf>
    <xf numFmtId="0" fontId="15" fillId="11" borderId="2" xfId="0" applyFont="1" applyFill="1" applyBorder="1" applyAlignment="1">
      <alignment horizontal="right"/>
    </xf>
    <xf numFmtId="0" fontId="18" fillId="0" borderId="2" xfId="0" applyFont="1" applyFill="1" applyBorder="1"/>
    <xf numFmtId="165" fontId="0" fillId="0" borderId="2" xfId="0" applyNumberFormat="1" applyBorder="1"/>
    <xf numFmtId="169" fontId="0" fillId="0" borderId="2" xfId="0" applyNumberFormat="1" applyBorder="1"/>
    <xf numFmtId="0" fontId="15" fillId="11" borderId="2" xfId="0" applyFont="1" applyFill="1" applyBorder="1" applyAlignment="1">
      <alignment horizontal="left" vertical="center"/>
    </xf>
    <xf numFmtId="0" fontId="3" fillId="0" borderId="2" xfId="0" applyFont="1" applyBorder="1" applyAlignment="1">
      <alignment horizontal="left" vertical="center" indent="2"/>
    </xf>
    <xf numFmtId="171" fontId="3" fillId="0" borderId="2" xfId="0" applyNumberFormat="1" applyFont="1" applyBorder="1"/>
    <xf numFmtId="0" fontId="3" fillId="0" borderId="2" xfId="0" applyFont="1" applyBorder="1" applyAlignment="1">
      <alignment vertical="center"/>
    </xf>
    <xf numFmtId="4" fontId="0" fillId="0" borderId="2" xfId="0" applyNumberFormat="1" applyBorder="1"/>
    <xf numFmtId="0" fontId="16" fillId="12" borderId="2" xfId="0" applyFont="1" applyFill="1" applyBorder="1"/>
    <xf numFmtId="0" fontId="15" fillId="12" borderId="2" xfId="0" applyFont="1" applyFill="1" applyBorder="1" applyAlignment="1">
      <alignment vertical="center"/>
    </xf>
    <xf numFmtId="0" fontId="15" fillId="12" borderId="2" xfId="0" applyFont="1" applyFill="1" applyBorder="1" applyAlignment="1">
      <alignment horizontal="right"/>
    </xf>
    <xf numFmtId="0" fontId="0" fillId="10" borderId="0" xfId="0" applyFill="1"/>
    <xf numFmtId="3" fontId="0" fillId="10" borderId="0" xfId="0" applyNumberFormat="1" applyFill="1"/>
    <xf numFmtId="0" fontId="3" fillId="0" borderId="2" xfId="0" applyFont="1" applyBorder="1" applyAlignment="1">
      <alignment horizontal="left" vertical="center"/>
    </xf>
    <xf numFmtId="0" fontId="0" fillId="8" borderId="2" xfId="0" applyFill="1" applyBorder="1"/>
    <xf numFmtId="167" fontId="0" fillId="8" borderId="2" xfId="0" applyNumberFormat="1" applyFill="1" applyBorder="1"/>
    <xf numFmtId="0" fontId="3" fillId="8" borderId="2" xfId="0" applyFont="1" applyFill="1" applyBorder="1" applyAlignment="1">
      <alignment horizontal="left" vertical="center"/>
    </xf>
    <xf numFmtId="167" fontId="3" fillId="0" borderId="2" xfId="0" applyNumberFormat="1" applyFont="1" applyBorder="1"/>
    <xf numFmtId="0" fontId="3" fillId="4" borderId="2" xfId="0" applyFont="1" applyFill="1" applyBorder="1"/>
    <xf numFmtId="8" fontId="0" fillId="0" borderId="2" xfId="0" applyNumberFormat="1" applyBorder="1"/>
    <xf numFmtId="0" fontId="0" fillId="0" borderId="2" xfId="0" applyNumberFormat="1" applyBorder="1"/>
    <xf numFmtId="171" fontId="0" fillId="0" borderId="2" xfId="0" applyNumberFormat="1" applyBorder="1"/>
    <xf numFmtId="0" fontId="10"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indent="2"/>
    </xf>
    <xf numFmtId="166" fontId="0" fillId="10" borderId="10" xfId="0" applyNumberFormat="1" applyFill="1" applyBorder="1" applyAlignment="1">
      <alignment vertical="center"/>
    </xf>
    <xf numFmtId="0" fontId="14" fillId="0" borderId="2" xfId="0" applyFont="1" applyBorder="1" applyAlignment="1">
      <alignment vertical="center"/>
    </xf>
    <xf numFmtId="166" fontId="0" fillId="13" borderId="2" xfId="0" applyNumberFormat="1" applyFill="1" applyBorder="1" applyAlignment="1">
      <alignment vertical="center"/>
    </xf>
    <xf numFmtId="166" fontId="0" fillId="0" borderId="2" xfId="0" applyNumberFormat="1" applyBorder="1" applyAlignment="1">
      <alignment vertical="center"/>
    </xf>
    <xf numFmtId="4" fontId="0" fillId="0" borderId="2" xfId="0" applyNumberFormat="1" applyBorder="1" applyAlignment="1">
      <alignment vertical="center"/>
    </xf>
    <xf numFmtId="0" fontId="0" fillId="0" borderId="2" xfId="0" applyBorder="1" applyAlignment="1">
      <alignment horizontal="left" vertical="center"/>
    </xf>
    <xf numFmtId="167" fontId="0" fillId="10" borderId="10" xfId="0" applyNumberFormat="1" applyFill="1" applyBorder="1" applyAlignment="1">
      <alignment vertical="center"/>
    </xf>
    <xf numFmtId="0" fontId="11" fillId="5" borderId="5" xfId="0" applyFont="1" applyFill="1" applyBorder="1" applyAlignment="1">
      <alignment horizontal="center" vertical="center" wrapText="1"/>
    </xf>
    <xf numFmtId="168" fontId="0" fillId="5" borderId="5" xfId="2" applyNumberFormat="1" applyFont="1" applyFill="1" applyBorder="1" applyAlignment="1">
      <alignment vertical="center"/>
    </xf>
    <xf numFmtId="173" fontId="0" fillId="0" borderId="2" xfId="0" applyNumberFormat="1" applyBorder="1" applyAlignment="1">
      <alignment vertical="center"/>
    </xf>
    <xf numFmtId="171" fontId="0" fillId="10" borderId="10" xfId="0" applyNumberFormat="1" applyFill="1" applyBorder="1" applyAlignment="1">
      <alignment vertical="center"/>
    </xf>
    <xf numFmtId="171" fontId="0" fillId="10" borderId="10" xfId="2" applyNumberFormat="1" applyFont="1" applyFill="1" applyBorder="1" applyAlignment="1">
      <alignment vertical="center"/>
    </xf>
    <xf numFmtId="168" fontId="0" fillId="0" borderId="2" xfId="2" applyNumberFormat="1" applyFont="1" applyFill="1" applyBorder="1" applyAlignment="1">
      <alignment horizontal="center" vertical="center"/>
    </xf>
    <xf numFmtId="167" fontId="0" fillId="4" borderId="2" xfId="2" applyNumberFormat="1" applyFont="1" applyFill="1" applyBorder="1" applyAlignment="1">
      <alignment vertical="center"/>
    </xf>
    <xf numFmtId="0" fontId="0" fillId="10" borderId="2" xfId="0" applyFill="1" applyBorder="1" applyAlignment="1">
      <alignment vertical="center"/>
    </xf>
    <xf numFmtId="175" fontId="26" fillId="0" borderId="0" xfId="0" quotePrefix="1" applyNumberFormat="1" applyFont="1" applyAlignment="1">
      <alignment horizontal="left"/>
    </xf>
    <xf numFmtId="169" fontId="0" fillId="7" borderId="6" xfId="0" applyNumberFormat="1" applyFill="1" applyBorder="1" applyAlignment="1">
      <alignment horizontal="center" vertical="center" wrapText="1"/>
    </xf>
    <xf numFmtId="0" fontId="3" fillId="15" borderId="2" xfId="0" applyFont="1" applyFill="1" applyBorder="1" applyAlignment="1">
      <alignment wrapText="1"/>
    </xf>
    <xf numFmtId="8" fontId="3" fillId="0" borderId="15" xfId="0" applyNumberFormat="1" applyFont="1" applyFill="1" applyBorder="1"/>
    <xf numFmtId="8" fontId="3" fillId="0" borderId="18" xfId="0" applyNumberFormat="1" applyFont="1" applyFill="1" applyBorder="1"/>
    <xf numFmtId="167" fontId="0" fillId="0" borderId="2" xfId="0" applyNumberFormat="1" applyFill="1" applyBorder="1"/>
    <xf numFmtId="176" fontId="0" fillId="0" borderId="0" xfId="1" applyNumberFormat="1" applyFont="1"/>
    <xf numFmtId="177" fontId="0" fillId="0" borderId="0" xfId="0" applyNumberFormat="1"/>
    <xf numFmtId="0" fontId="0" fillId="0" borderId="27" xfId="0" applyBorder="1" applyAlignment="1">
      <alignment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vertical="center"/>
    </xf>
    <xf numFmtId="0" fontId="0" fillId="0" borderId="29" xfId="0" applyBorder="1" applyAlignment="1">
      <alignment horizontal="center" vertical="center" wrapText="1"/>
    </xf>
    <xf numFmtId="167" fontId="0" fillId="0" borderId="29" xfId="0" applyNumberFormat="1" applyBorder="1" applyAlignment="1">
      <alignment vertical="center"/>
    </xf>
    <xf numFmtId="167" fontId="0" fillId="0" borderId="30" xfId="0" applyNumberFormat="1" applyBorder="1" applyAlignment="1">
      <alignment vertical="center"/>
    </xf>
    <xf numFmtId="0" fontId="0" fillId="0" borderId="22" xfId="0" applyBorder="1" applyAlignment="1">
      <alignment vertical="center"/>
    </xf>
    <xf numFmtId="0" fontId="0" fillId="0" borderId="19" xfId="0" applyBorder="1" applyAlignment="1">
      <alignment horizontal="right" vertical="center"/>
    </xf>
    <xf numFmtId="0" fontId="0" fillId="0" borderId="22" xfId="0" applyBorder="1" applyAlignment="1">
      <alignment horizontal="right" vertical="center"/>
    </xf>
    <xf numFmtId="0" fontId="0" fillId="0" borderId="10" xfId="0" applyBorder="1" applyAlignment="1">
      <alignment horizontal="right" vertical="center"/>
    </xf>
    <xf numFmtId="0" fontId="3" fillId="15" borderId="2" xfId="0" applyFont="1" applyFill="1" applyBorder="1" applyAlignment="1">
      <alignment vertical="center"/>
    </xf>
    <xf numFmtId="0" fontId="0" fillId="15" borderId="2" xfId="0" applyFill="1" applyBorder="1" applyAlignment="1">
      <alignment vertical="center"/>
    </xf>
    <xf numFmtId="0" fontId="11" fillId="15" borderId="2" xfId="0" applyFont="1" applyFill="1" applyBorder="1" applyAlignment="1">
      <alignment horizontal="center" vertical="center" wrapText="1"/>
    </xf>
    <xf numFmtId="0" fontId="0" fillId="15" borderId="2" xfId="0" applyFill="1" applyBorder="1" applyAlignment="1">
      <alignment horizontal="center" vertical="center" wrapText="1"/>
    </xf>
    <xf numFmtId="172" fontId="0" fillId="15" borderId="2" xfId="0" applyNumberFormat="1"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167" fontId="0" fillId="0" borderId="25" xfId="0" applyNumberFormat="1" applyBorder="1" applyAlignment="1">
      <alignment vertical="center"/>
    </xf>
    <xf numFmtId="167" fontId="0" fillId="0" borderId="26" xfId="0" applyNumberFormat="1" applyBorder="1" applyAlignment="1">
      <alignment vertical="center"/>
    </xf>
    <xf numFmtId="0" fontId="0" fillId="0" borderId="31" xfId="0" applyBorder="1" applyAlignment="1">
      <alignment vertical="center" wrapText="1"/>
    </xf>
    <xf numFmtId="0" fontId="0" fillId="0" borderId="5" xfId="0" applyBorder="1"/>
    <xf numFmtId="8" fontId="3" fillId="0" borderId="30" xfId="0" applyNumberFormat="1" applyFont="1" applyBorder="1"/>
    <xf numFmtId="3" fontId="0" fillId="15" borderId="2" xfId="0" applyNumberFormat="1" applyFill="1" applyBorder="1"/>
    <xf numFmtId="167" fontId="15" fillId="12" borderId="0" xfId="0" applyNumberFormat="1" applyFont="1" applyFill="1" applyBorder="1" applyAlignment="1">
      <alignment horizontal="right"/>
    </xf>
    <xf numFmtId="0" fontId="17" fillId="11" borderId="28" xfId="0" applyFont="1" applyFill="1" applyBorder="1" applyAlignment="1">
      <alignment horizontal="center" vertical="center" wrapText="1"/>
    </xf>
    <xf numFmtId="0" fontId="6" fillId="11" borderId="24" xfId="0" applyFont="1" applyFill="1" applyBorder="1" applyAlignment="1">
      <alignment vertical="center"/>
    </xf>
    <xf numFmtId="0" fontId="6" fillId="11" borderId="25" xfId="0" applyFont="1" applyFill="1" applyBorder="1" applyAlignment="1">
      <alignment vertical="center"/>
    </xf>
    <xf numFmtId="0" fontId="6" fillId="11" borderId="25" xfId="0" applyFont="1" applyFill="1" applyBorder="1" applyAlignment="1">
      <alignment horizontal="center" vertical="center" wrapText="1"/>
    </xf>
    <xf numFmtId="0" fontId="6" fillId="11" borderId="28" xfId="0" applyFont="1" applyFill="1" applyBorder="1" applyAlignment="1">
      <alignment vertical="center"/>
    </xf>
    <xf numFmtId="0" fontId="6" fillId="11" borderId="29" xfId="0" applyFont="1" applyFill="1" applyBorder="1" applyAlignment="1">
      <alignment vertical="center"/>
    </xf>
    <xf numFmtId="8" fontId="6" fillId="11" borderId="29" xfId="0" applyNumberFormat="1" applyFont="1" applyFill="1" applyBorder="1" applyAlignment="1">
      <alignment horizontal="center" vertical="center" wrapText="1"/>
    </xf>
    <xf numFmtId="0" fontId="6" fillId="11" borderId="19" xfId="0" applyFont="1" applyFill="1" applyBorder="1" applyAlignment="1">
      <alignment vertical="center"/>
    </xf>
    <xf numFmtId="0" fontId="0" fillId="0" borderId="10" xfId="0" applyBorder="1" applyAlignment="1">
      <alignment horizontal="center" vertical="center" wrapText="1"/>
    </xf>
    <xf numFmtId="171" fontId="0" fillId="0" borderId="2" xfId="0" applyNumberFormat="1" applyFont="1" applyBorder="1"/>
    <xf numFmtId="8" fontId="3" fillId="0" borderId="0" xfId="0" applyNumberFormat="1" applyFont="1" applyFill="1" applyBorder="1"/>
    <xf numFmtId="0" fontId="0" fillId="0" borderId="10" xfId="0" applyBorder="1" applyAlignment="1">
      <alignment vertical="center"/>
    </xf>
    <xf numFmtId="0" fontId="0" fillId="0" borderId="10" xfId="0" applyBorder="1"/>
    <xf numFmtId="0" fontId="0" fillId="0" borderId="3" xfId="0" applyBorder="1" applyAlignment="1">
      <alignment wrapText="1"/>
    </xf>
    <xf numFmtId="0" fontId="0" fillId="0" borderId="4" xfId="0" applyBorder="1"/>
    <xf numFmtId="0" fontId="0" fillId="0" borderId="31" xfId="0" applyBorder="1"/>
    <xf numFmtId="0" fontId="3" fillId="0" borderId="6" xfId="0" applyFont="1" applyBorder="1"/>
    <xf numFmtId="0" fontId="15" fillId="14" borderId="0" xfId="0" applyFont="1" applyFill="1"/>
    <xf numFmtId="0" fontId="0" fillId="0" borderId="3" xfId="0" applyBorder="1"/>
    <xf numFmtId="3" fontId="0" fillId="0" borderId="10" xfId="0" applyNumberFormat="1" applyFill="1" applyBorder="1"/>
    <xf numFmtId="0" fontId="15" fillId="11" borderId="5" xfId="0" applyFont="1" applyFill="1" applyBorder="1"/>
    <xf numFmtId="0" fontId="15" fillId="12" borderId="19" xfId="0" applyFont="1" applyFill="1" applyBorder="1" applyAlignment="1">
      <alignment vertical="center"/>
    </xf>
    <xf numFmtId="0" fontId="16" fillId="12" borderId="10" xfId="0" applyFont="1" applyFill="1" applyBorder="1"/>
    <xf numFmtId="167" fontId="0" fillId="0" borderId="0" xfId="0" applyNumberFormat="1" applyFill="1" applyBorder="1"/>
    <xf numFmtId="0" fontId="3" fillId="0" borderId="32" xfId="0" applyFont="1" applyBorder="1"/>
    <xf numFmtId="0" fontId="3" fillId="0" borderId="10" xfId="0" applyFont="1" applyBorder="1"/>
    <xf numFmtId="0" fontId="3" fillId="0" borderId="32" xfId="0" applyFont="1" applyBorder="1" applyAlignment="1">
      <alignment wrapText="1"/>
    </xf>
    <xf numFmtId="0" fontId="3" fillId="0" borderId="6" xfId="0" applyFont="1" applyBorder="1" applyAlignment="1">
      <alignment wrapText="1"/>
    </xf>
    <xf numFmtId="0" fontId="3" fillId="9" borderId="2" xfId="0" applyFont="1" applyFill="1" applyBorder="1"/>
    <xf numFmtId="8" fontId="3" fillId="9" borderId="2" xfId="0" applyNumberFormat="1" applyFont="1" applyFill="1" applyBorder="1"/>
    <xf numFmtId="0" fontId="15" fillId="11" borderId="20" xfId="0" applyFont="1" applyFill="1" applyBorder="1" applyAlignment="1">
      <alignment horizontal="center"/>
    </xf>
    <xf numFmtId="0" fontId="15" fillId="11" borderId="21" xfId="0" applyFont="1" applyFill="1" applyBorder="1" applyAlignment="1">
      <alignment horizontal="center"/>
    </xf>
    <xf numFmtId="0" fontId="15" fillId="11" borderId="23" xfId="0" applyFont="1" applyFill="1" applyBorder="1" applyAlignment="1">
      <alignment horizontal="center"/>
    </xf>
    <xf numFmtId="166" fontId="0" fillId="5" borderId="2" xfId="0" applyNumberForma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169" fontId="0" fillId="0" borderId="15" xfId="0" applyNumberFormat="1" applyBorder="1" applyAlignment="1">
      <alignment vertical="center"/>
    </xf>
    <xf numFmtId="169" fontId="0" fillId="0" borderId="17" xfId="0" applyNumberFormat="1" applyBorder="1" applyAlignment="1">
      <alignment vertical="center"/>
    </xf>
    <xf numFmtId="169" fontId="0" fillId="0" borderId="18" xfId="0" applyNumberFormat="1" applyBorder="1" applyAlignment="1">
      <alignment vertical="center"/>
    </xf>
    <xf numFmtId="0" fontId="0" fillId="0" borderId="7" xfId="0" applyBorder="1" applyAlignment="1">
      <alignment horizontal="left" vertical="center" wrapText="1"/>
    </xf>
    <xf numFmtId="0" fontId="0" fillId="0" borderId="34" xfId="0" applyBorder="1" applyAlignment="1">
      <alignment vertical="center" wrapText="1"/>
    </xf>
    <xf numFmtId="0" fontId="0" fillId="10" borderId="12" xfId="0" applyFill="1" applyBorder="1"/>
    <xf numFmtId="0" fontId="3" fillId="7" borderId="2" xfId="0" applyFont="1" applyFill="1" applyBorder="1"/>
    <xf numFmtId="0" fontId="3" fillId="10" borderId="0" xfId="0" applyFont="1" applyFill="1"/>
    <xf numFmtId="0" fontId="0" fillId="7" borderId="2" xfId="0" applyFill="1" applyBorder="1"/>
    <xf numFmtId="0" fontId="3" fillId="7" borderId="2" xfId="0" applyFont="1" applyFill="1" applyBorder="1" applyAlignment="1">
      <alignment horizontal="right"/>
    </xf>
    <xf numFmtId="0" fontId="3" fillId="0" borderId="0" xfId="0" applyFont="1" applyAlignment="1">
      <alignment wrapText="1"/>
    </xf>
    <xf numFmtId="172" fontId="0" fillId="0" borderId="0" xfId="0" applyNumberFormat="1"/>
    <xf numFmtId="0" fontId="0" fillId="0" borderId="12" xfId="0" applyBorder="1"/>
    <xf numFmtId="0" fontId="15" fillId="0" borderId="0" xfId="0" applyFont="1" applyFill="1" applyBorder="1" applyAlignment="1">
      <alignment horizontal="center"/>
    </xf>
    <xf numFmtId="10" fontId="0" fillId="0" borderId="0" xfId="0" applyNumberFormat="1" applyFill="1" applyBorder="1"/>
    <xf numFmtId="2" fontId="0" fillId="0" borderId="0" xfId="0" applyNumberFormat="1" applyFill="1" applyBorder="1"/>
    <xf numFmtId="3" fontId="15" fillId="0" borderId="0" xfId="0" applyNumberFormat="1" applyFont="1" applyFill="1" applyBorder="1"/>
    <xf numFmtId="9" fontId="15" fillId="0" borderId="0" xfId="0" applyNumberFormat="1" applyFont="1" applyFill="1" applyBorder="1"/>
    <xf numFmtId="2" fontId="15" fillId="0" borderId="0" xfId="0" applyNumberFormat="1" applyFont="1" applyFill="1" applyBorder="1"/>
    <xf numFmtId="0" fontId="3" fillId="7" borderId="19" xfId="0" applyFont="1" applyFill="1" applyBorder="1" applyAlignment="1">
      <alignment horizontal="right"/>
    </xf>
    <xf numFmtId="3" fontId="0" fillId="0" borderId="19" xfId="0" applyNumberFormat="1" applyBorder="1"/>
    <xf numFmtId="0" fontId="29" fillId="0" borderId="2" xfId="0" applyFont="1" applyBorder="1"/>
    <xf numFmtId="0" fontId="3" fillId="17" borderId="2" xfId="0" applyFont="1" applyFill="1" applyBorder="1"/>
    <xf numFmtId="0" fontId="0" fillId="17" borderId="2" xfId="0" applyFill="1" applyBorder="1"/>
    <xf numFmtId="0" fontId="29" fillId="17" borderId="2" xfId="0" applyFont="1" applyFill="1" applyBorder="1"/>
    <xf numFmtId="0" fontId="3" fillId="0" borderId="0" xfId="0" applyFont="1" applyFill="1"/>
    <xf numFmtId="0" fontId="3" fillId="6" borderId="0" xfId="0" applyFont="1" applyFill="1" applyBorder="1"/>
    <xf numFmtId="3" fontId="0" fillId="6" borderId="0" xfId="0" applyNumberFormat="1" applyFill="1" applyBorder="1"/>
    <xf numFmtId="0" fontId="3" fillId="6" borderId="0" xfId="0" applyFont="1" applyFill="1"/>
    <xf numFmtId="3" fontId="15" fillId="6" borderId="0" xfId="0" applyNumberFormat="1" applyFont="1" applyFill="1"/>
    <xf numFmtId="3" fontId="0" fillId="6" borderId="0" xfId="0" applyNumberFormat="1" applyFill="1"/>
    <xf numFmtId="0" fontId="3" fillId="0" borderId="7" xfId="0" applyFont="1" applyBorder="1"/>
    <xf numFmtId="0" fontId="3" fillId="18" borderId="26" xfId="0" applyFont="1" applyFill="1" applyBorder="1"/>
    <xf numFmtId="0" fontId="0" fillId="18" borderId="25" xfId="0" applyFill="1" applyBorder="1"/>
    <xf numFmtId="0" fontId="0" fillId="18" borderId="26" xfId="0" applyFill="1" applyBorder="1"/>
    <xf numFmtId="3" fontId="0" fillId="17" borderId="3" xfId="0" applyNumberFormat="1" applyFill="1" applyBorder="1"/>
    <xf numFmtId="0" fontId="0" fillId="12" borderId="2" xfId="0" applyFill="1" applyBorder="1"/>
    <xf numFmtId="0" fontId="3" fillId="12" borderId="10" xfId="0" applyFont="1" applyFill="1" applyBorder="1" applyAlignment="1">
      <alignment wrapText="1"/>
    </xf>
    <xf numFmtId="0" fontId="0" fillId="12" borderId="5" xfId="0" applyFill="1" applyBorder="1"/>
    <xf numFmtId="3" fontId="0" fillId="12" borderId="2" xfId="0" applyNumberFormat="1" applyFill="1" applyBorder="1"/>
    <xf numFmtId="0" fontId="3" fillId="0" borderId="0" xfId="0" applyFont="1" applyBorder="1"/>
    <xf numFmtId="0" fontId="3" fillId="0" borderId="16" xfId="0" applyFont="1" applyBorder="1"/>
    <xf numFmtId="0" fontId="0" fillId="19" borderId="2" xfId="0" applyFill="1" applyBorder="1"/>
    <xf numFmtId="0" fontId="15" fillId="0" borderId="0" xfId="0" applyFont="1"/>
    <xf numFmtId="0" fontId="3" fillId="19" borderId="2" xfId="0" applyFont="1" applyFill="1" applyBorder="1"/>
    <xf numFmtId="4" fontId="0" fillId="19" borderId="2" xfId="0" applyNumberFormat="1" applyFill="1" applyBorder="1"/>
    <xf numFmtId="0" fontId="15" fillId="0" borderId="0" xfId="0" applyFont="1" applyAlignment="1">
      <alignment vertical="top" wrapText="1"/>
    </xf>
    <xf numFmtId="3" fontId="0" fillId="19" borderId="3" xfId="0" applyNumberFormat="1" applyFill="1" applyBorder="1"/>
    <xf numFmtId="0" fontId="3" fillId="19" borderId="3" xfId="0" applyFont="1" applyFill="1" applyBorder="1"/>
    <xf numFmtId="0" fontId="3" fillId="19" borderId="33" xfId="0" applyFont="1" applyFill="1" applyBorder="1" applyAlignment="1">
      <alignment vertical="top" wrapText="1"/>
    </xf>
    <xf numFmtId="3" fontId="0" fillId="19" borderId="36" xfId="0" applyNumberFormat="1" applyFill="1" applyBorder="1"/>
    <xf numFmtId="3" fontId="0" fillId="19" borderId="37" xfId="0" applyNumberFormat="1" applyFill="1" applyBorder="1"/>
    <xf numFmtId="0" fontId="0" fillId="12" borderId="2" xfId="0" applyFill="1" applyBorder="1" applyAlignment="1">
      <alignment wrapText="1"/>
    </xf>
    <xf numFmtId="0" fontId="0" fillId="15" borderId="19" xfId="0" applyFill="1" applyBorder="1"/>
    <xf numFmtId="0" fontId="0" fillId="15" borderId="2" xfId="0" applyFill="1" applyBorder="1"/>
    <xf numFmtId="0" fontId="3" fillId="0" borderId="10" xfId="0" applyFont="1" applyBorder="1" applyAlignment="1">
      <alignment wrapText="1"/>
    </xf>
    <xf numFmtId="167" fontId="0" fillId="19" borderId="2" xfId="0" applyNumberFormat="1" applyFill="1" applyBorder="1"/>
    <xf numFmtId="0" fontId="3" fillId="20" borderId="2" xfId="0" applyFont="1" applyFill="1" applyBorder="1" applyAlignment="1">
      <alignment horizontal="left" vertical="center"/>
    </xf>
    <xf numFmtId="167" fontId="0" fillId="20" borderId="2" xfId="0" applyNumberFormat="1" applyFill="1" applyBorder="1"/>
    <xf numFmtId="167" fontId="0" fillId="15" borderId="2" xfId="0" applyNumberFormat="1" applyFill="1" applyBorder="1"/>
    <xf numFmtId="0" fontId="3" fillId="8" borderId="10" xfId="0" applyFont="1" applyFill="1" applyBorder="1"/>
    <xf numFmtId="0" fontId="0" fillId="20" borderId="0" xfId="0" applyFill="1"/>
    <xf numFmtId="167" fontId="0" fillId="20" borderId="0" xfId="0" applyNumberFormat="1" applyFill="1"/>
    <xf numFmtId="167" fontId="3" fillId="20" borderId="0" xfId="0" applyNumberFormat="1" applyFont="1" applyFill="1"/>
    <xf numFmtId="0" fontId="0" fillId="15" borderId="0" xfId="0" applyFill="1"/>
    <xf numFmtId="167" fontId="0" fillId="15" borderId="0" xfId="0" applyNumberFormat="1" applyFill="1"/>
    <xf numFmtId="167" fontId="3" fillId="15" borderId="0" xfId="0" applyNumberFormat="1" applyFont="1" applyFill="1"/>
    <xf numFmtId="0" fontId="0" fillId="19" borderId="0" xfId="0" applyFill="1"/>
    <xf numFmtId="167" fontId="0" fillId="19" borderId="0" xfId="0" applyNumberFormat="1" applyFill="1"/>
    <xf numFmtId="167" fontId="3" fillId="19" borderId="0" xfId="0" applyNumberFormat="1" applyFont="1" applyFill="1"/>
    <xf numFmtId="0" fontId="0" fillId="8" borderId="0" xfId="0" applyFill="1"/>
    <xf numFmtId="167" fontId="0" fillId="8" borderId="0" xfId="0" applyNumberFormat="1" applyFill="1"/>
    <xf numFmtId="167" fontId="3" fillId="8" borderId="0" xfId="0" applyNumberFormat="1" applyFont="1" applyFill="1"/>
    <xf numFmtId="0" fontId="3" fillId="0" borderId="7" xfId="0" applyFont="1" applyBorder="1" applyAlignment="1">
      <alignment wrapText="1"/>
    </xf>
    <xf numFmtId="0" fontId="3" fillId="0" borderId="34" xfId="0" applyFont="1" applyBorder="1" applyAlignment="1">
      <alignment wrapText="1"/>
    </xf>
    <xf numFmtId="0" fontId="15" fillId="0" borderId="0" xfId="0" applyFont="1" applyFill="1" applyBorder="1" applyAlignment="1">
      <alignment vertical="center" wrapText="1"/>
    </xf>
    <xf numFmtId="0" fontId="15" fillId="0" borderId="0" xfId="0" applyFont="1" applyFill="1" applyBorder="1" applyAlignment="1">
      <alignment horizontal="right"/>
    </xf>
    <xf numFmtId="0" fontId="15" fillId="0" borderId="0" xfId="0" applyFont="1" applyFill="1" applyBorder="1" applyAlignment="1">
      <alignment horizontal="right" wrapText="1"/>
    </xf>
    <xf numFmtId="0" fontId="18" fillId="0" borderId="0" xfId="0" applyFont="1" applyFill="1" applyBorder="1" applyAlignment="1">
      <alignment vertical="center"/>
    </xf>
    <xf numFmtId="4" fontId="0" fillId="0" borderId="0" xfId="0" applyNumberFormat="1" applyFill="1" applyBorder="1"/>
    <xf numFmtId="0" fontId="16" fillId="0" borderId="0" xfId="0" applyFont="1" applyFill="1" applyBorder="1"/>
    <xf numFmtId="172" fontId="16" fillId="0" borderId="0" xfId="0" applyNumberFormat="1" applyFont="1" applyFill="1" applyBorder="1"/>
    <xf numFmtId="167" fontId="16" fillId="0" borderId="0" xfId="0" applyNumberFormat="1" applyFont="1" applyFill="1" applyBorder="1"/>
    <xf numFmtId="0" fontId="15" fillId="12" borderId="5" xfId="0" applyFont="1" applyFill="1" applyBorder="1"/>
    <xf numFmtId="0" fontId="16" fillId="12" borderId="5" xfId="0" applyFont="1" applyFill="1" applyBorder="1"/>
    <xf numFmtId="167" fontId="15" fillId="12" borderId="5" xfId="0" applyNumberFormat="1" applyFont="1" applyFill="1" applyBorder="1"/>
    <xf numFmtId="0" fontId="15" fillId="0" borderId="39" xfId="0" applyFont="1" applyFill="1" applyBorder="1" applyAlignment="1">
      <alignment vertical="center"/>
    </xf>
    <xf numFmtId="0" fontId="0" fillId="0" borderId="37" xfId="0" applyBorder="1"/>
    <xf numFmtId="0" fontId="0" fillId="0" borderId="38" xfId="0" applyBorder="1"/>
    <xf numFmtId="0" fontId="0" fillId="0" borderId="0" xfId="0" applyAlignment="1">
      <alignment horizontal="right"/>
    </xf>
    <xf numFmtId="0" fontId="15" fillId="0" borderId="0" xfId="0" applyFont="1" applyFill="1" applyBorder="1" applyAlignment="1">
      <alignment horizontal="center"/>
    </xf>
    <xf numFmtId="0" fontId="3" fillId="0" borderId="0" xfId="0" applyFont="1" applyFill="1" applyBorder="1" applyAlignment="1">
      <alignment vertical="top" wrapText="1"/>
    </xf>
    <xf numFmtId="0" fontId="15" fillId="11" borderId="40" xfId="0" applyFont="1" applyFill="1" applyBorder="1"/>
    <xf numFmtId="0" fontId="15" fillId="0" borderId="17" xfId="0" applyFont="1" applyFill="1" applyBorder="1"/>
    <xf numFmtId="0" fontId="0" fillId="0" borderId="6" xfId="0" applyBorder="1"/>
    <xf numFmtId="0" fontId="0" fillId="7" borderId="7" xfId="0" applyFill="1" applyBorder="1"/>
    <xf numFmtId="0" fontId="3" fillId="7" borderId="41" xfId="0" applyFont="1" applyFill="1" applyBorder="1" applyAlignment="1">
      <alignment horizontal="left"/>
    </xf>
    <xf numFmtId="3" fontId="0" fillId="0" borderId="41" xfId="0" applyNumberFormat="1" applyBorder="1"/>
    <xf numFmtId="3" fontId="0" fillId="0" borderId="7" xfId="0" applyNumberFormat="1" applyBorder="1"/>
    <xf numFmtId="0" fontId="0" fillId="0" borderId="34" xfId="0" applyBorder="1"/>
    <xf numFmtId="0" fontId="3" fillId="0" borderId="2" xfId="0" applyFont="1" applyFill="1" applyBorder="1"/>
    <xf numFmtId="0" fontId="3" fillId="0" borderId="2" xfId="0" applyFont="1" applyFill="1" applyBorder="1" applyAlignment="1">
      <alignment horizontal="right" wrapText="1"/>
    </xf>
    <xf numFmtId="3" fontId="18" fillId="0" borderId="2" xfId="0" applyNumberFormat="1" applyFont="1" applyFill="1" applyBorder="1" applyAlignment="1">
      <alignment horizontal="right" wrapText="1"/>
    </xf>
    <xf numFmtId="0" fontId="18" fillId="0" borderId="2" xfId="0" applyFont="1" applyFill="1" applyBorder="1" applyAlignment="1">
      <alignment horizontal="right" wrapText="1"/>
    </xf>
    <xf numFmtId="0" fontId="29" fillId="0" borderId="2" xfId="0" applyFont="1" applyFill="1" applyBorder="1"/>
    <xf numFmtId="3" fontId="0" fillId="0" borderId="2" xfId="0" applyNumberFormat="1" applyBorder="1" applyAlignment="1">
      <alignment horizontal="right" wrapText="1"/>
    </xf>
    <xf numFmtId="0" fontId="3" fillId="0" borderId="2" xfId="0" applyFont="1" applyBorder="1" applyAlignment="1">
      <alignment horizontal="right" wrapText="1"/>
    </xf>
    <xf numFmtId="0" fontId="3" fillId="0" borderId="4" xfId="0" applyFont="1" applyBorder="1"/>
    <xf numFmtId="169" fontId="3" fillId="0" borderId="0" xfId="0" applyNumberFormat="1" applyFont="1" applyFill="1" applyBorder="1" applyAlignment="1"/>
    <xf numFmtId="169" fontId="3" fillId="0" borderId="0" xfId="0" applyNumberFormat="1" applyFont="1" applyFill="1" applyBorder="1" applyAlignment="1">
      <alignment horizontal="left"/>
    </xf>
    <xf numFmtId="169" fontId="3" fillId="0" borderId="0" xfId="0" applyNumberFormat="1" applyFont="1" applyFill="1" applyBorder="1" applyAlignment="1">
      <alignment horizontal="right"/>
    </xf>
    <xf numFmtId="169" fontId="3" fillId="0" borderId="0" xfId="0" applyNumberFormat="1" applyFont="1" applyFill="1" applyBorder="1"/>
    <xf numFmtId="169" fontId="0" fillId="0" borderId="0" xfId="0" applyNumberFormat="1" applyFill="1" applyBorder="1"/>
    <xf numFmtId="9" fontId="0" fillId="0" borderId="0" xfId="0" applyNumberFormat="1"/>
    <xf numFmtId="9" fontId="3" fillId="0" borderId="0" xfId="0" applyNumberFormat="1" applyFont="1" applyFill="1" applyBorder="1"/>
    <xf numFmtId="0" fontId="15" fillId="11" borderId="12" xfId="0" applyFont="1" applyFill="1" applyBorder="1"/>
    <xf numFmtId="0" fontId="15" fillId="11" borderId="13" xfId="0" applyFont="1" applyFill="1" applyBorder="1"/>
    <xf numFmtId="169" fontId="0" fillId="0" borderId="0" xfId="0" applyNumberFormat="1" applyBorder="1"/>
    <xf numFmtId="169" fontId="0" fillId="0" borderId="15" xfId="0" applyNumberFormat="1" applyBorder="1"/>
    <xf numFmtId="169" fontId="0" fillId="0" borderId="17" xfId="0" applyNumberFormat="1" applyBorder="1"/>
    <xf numFmtId="169" fontId="0" fillId="0" borderId="18" xfId="0" applyNumberFormat="1" applyBorder="1"/>
    <xf numFmtId="3" fontId="0" fillId="15" borderId="3" xfId="0" applyNumberFormat="1" applyFill="1" applyBorder="1"/>
    <xf numFmtId="3" fontId="3" fillId="0" borderId="6" xfId="0" applyNumberFormat="1" applyFont="1" applyBorder="1"/>
    <xf numFmtId="3" fontId="0" fillId="15" borderId="0" xfId="0" applyNumberFormat="1" applyFill="1"/>
    <xf numFmtId="3" fontId="0" fillId="5" borderId="0" xfId="0" applyNumberFormat="1" applyFill="1"/>
    <xf numFmtId="4" fontId="0" fillId="0" borderId="0" xfId="0" applyNumberFormat="1"/>
    <xf numFmtId="4" fontId="3" fillId="0" borderId="0" xfId="0" applyNumberFormat="1" applyFont="1" applyFill="1" applyBorder="1" applyAlignment="1">
      <alignment horizontal="left"/>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4" applyFont="1" applyAlignment="1">
      <alignment horizontal="left" vertical="center"/>
    </xf>
    <xf numFmtId="0" fontId="5" fillId="2" borderId="0" xfId="0" applyFont="1" applyFill="1" applyAlignment="1">
      <alignment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172" fontId="0" fillId="0" borderId="0" xfId="0" applyNumberFormat="1" applyAlignment="1">
      <alignment vertical="center"/>
    </xf>
    <xf numFmtId="172" fontId="0" fillId="0" borderId="10" xfId="0" applyNumberFormat="1" applyBorder="1" applyAlignment="1">
      <alignment vertical="center"/>
    </xf>
    <xf numFmtId="0" fontId="12" fillId="0" borderId="0" xfId="0" applyFont="1" applyAlignment="1">
      <alignment horizontal="center" vertical="center"/>
    </xf>
    <xf numFmtId="164" fontId="10" fillId="0" borderId="0" xfId="0" applyNumberFormat="1" applyFont="1" applyAlignment="1">
      <alignment vertical="center"/>
    </xf>
    <xf numFmtId="0" fontId="28" fillId="0" borderId="0" xfId="0" applyFont="1" applyAlignment="1">
      <alignment vertical="center"/>
    </xf>
    <xf numFmtId="0" fontId="11" fillId="5" borderId="0" xfId="0" applyFont="1" applyFill="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0" xfId="0" applyFill="1" applyAlignment="1">
      <alignment horizontal="left" vertical="center" wrapText="1"/>
    </xf>
    <xf numFmtId="169" fontId="0" fillId="0" borderId="2" xfId="0" applyNumberFormat="1" applyBorder="1" applyAlignment="1">
      <alignment vertical="center"/>
    </xf>
    <xf numFmtId="169" fontId="0" fillId="0" borderId="0" xfId="0" applyNumberFormat="1" applyAlignment="1">
      <alignment vertical="center"/>
    </xf>
    <xf numFmtId="0" fontId="0" fillId="0" borderId="0" xfId="0" applyAlignment="1">
      <alignment horizontal="left" vertical="center" wrapText="1"/>
    </xf>
    <xf numFmtId="0" fontId="0" fillId="7" borderId="7" xfId="0" applyFill="1" applyBorder="1" applyAlignment="1">
      <alignment horizontal="center" vertical="center"/>
    </xf>
    <xf numFmtId="0" fontId="0" fillId="10" borderId="0" xfId="0" applyFill="1" applyAlignment="1">
      <alignment horizontal="center" vertical="center"/>
    </xf>
    <xf numFmtId="0" fontId="0" fillId="0" borderId="2" xfId="0" applyBorder="1" applyAlignment="1">
      <alignment horizontal="left" vertical="center" wrapText="1" indent="2"/>
    </xf>
    <xf numFmtId="0" fontId="0" fillId="0" borderId="0" xfId="0" quotePrefix="1" applyAlignment="1">
      <alignment horizontal="left" vertical="center"/>
    </xf>
    <xf numFmtId="0" fontId="0" fillId="5" borderId="24" xfId="0" applyFill="1" applyBorder="1" applyAlignment="1">
      <alignment vertical="center" wrapText="1"/>
    </xf>
    <xf numFmtId="178" fontId="0" fillId="0" borderId="0" xfId="0" applyNumberFormat="1" applyAlignment="1">
      <alignment vertical="center"/>
    </xf>
    <xf numFmtId="178" fontId="0" fillId="0" borderId="15" xfId="0" applyNumberFormat="1" applyBorder="1" applyAlignment="1">
      <alignment vertical="center"/>
    </xf>
    <xf numFmtId="0" fontId="0" fillId="5" borderId="35" xfId="0" applyFill="1" applyBorder="1" applyAlignment="1">
      <alignment vertical="center"/>
    </xf>
    <xf numFmtId="0" fontId="0" fillId="5" borderId="28" xfId="0" applyFill="1" applyBorder="1" applyAlignment="1">
      <alignment vertical="center"/>
    </xf>
    <xf numFmtId="0" fontId="0" fillId="5" borderId="5" xfId="0" applyFill="1" applyBorder="1" applyAlignment="1">
      <alignment vertical="center"/>
    </xf>
    <xf numFmtId="171" fontId="0" fillId="0" borderId="0" xfId="0" applyNumberFormat="1" applyAlignment="1">
      <alignment vertical="center"/>
    </xf>
    <xf numFmtId="0" fontId="8"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wrapText="1"/>
    </xf>
    <xf numFmtId="0" fontId="8" fillId="0" borderId="0" xfId="0" applyFont="1" applyAlignment="1">
      <alignment horizontal="center" vertical="center" wrapText="1"/>
    </xf>
    <xf numFmtId="3" fontId="0" fillId="0" borderId="2" xfId="0" applyNumberFormat="1" applyBorder="1" applyAlignment="1">
      <alignment vertical="center"/>
    </xf>
    <xf numFmtId="0" fontId="0" fillId="0" borderId="0" xfId="0" applyAlignment="1">
      <alignment vertical="center" wrapText="1"/>
    </xf>
    <xf numFmtId="0" fontId="0" fillId="0" borderId="0" xfId="0" applyAlignment="1">
      <alignment horizontal="center"/>
    </xf>
    <xf numFmtId="0" fontId="0" fillId="15" borderId="0" xfId="0" applyFill="1" applyAlignment="1">
      <alignment horizontal="center"/>
    </xf>
    <xf numFmtId="169" fontId="0" fillId="0" borderId="0" xfId="0" applyNumberFormat="1" applyAlignment="1">
      <alignment horizontal="center"/>
    </xf>
    <xf numFmtId="169" fontId="0" fillId="15" borderId="0" xfId="0" applyNumberFormat="1" applyFill="1" applyAlignment="1">
      <alignment horizontal="center"/>
    </xf>
    <xf numFmtId="4" fontId="0" fillId="0" borderId="0" xfId="0" applyNumberFormat="1" applyAlignment="1">
      <alignment horizontal="center"/>
    </xf>
    <xf numFmtId="0" fontId="3" fillId="0" borderId="0" xfId="0" applyFont="1" applyAlignment="1">
      <alignment horizontal="left"/>
    </xf>
    <xf numFmtId="3" fontId="0" fillId="0" borderId="0" xfId="0" applyNumberFormat="1" applyAlignment="1">
      <alignment horizontal="center"/>
    </xf>
    <xf numFmtId="2" fontId="0" fillId="0" borderId="0" xfId="0" applyNumberFormat="1" applyAlignment="1">
      <alignment horizontal="center"/>
    </xf>
    <xf numFmtId="2" fontId="0" fillId="15" borderId="0" xfId="0" applyNumberFormat="1" applyFill="1" applyAlignment="1">
      <alignment horizontal="center"/>
    </xf>
    <xf numFmtId="4" fontId="0" fillId="15" borderId="0" xfId="0" applyNumberFormat="1" applyFill="1" applyAlignment="1">
      <alignment horizontal="center"/>
    </xf>
    <xf numFmtId="0" fontId="3" fillId="0" borderId="0" xfId="0" applyFont="1" applyAlignment="1">
      <alignment horizontal="right"/>
    </xf>
    <xf numFmtId="169" fontId="0" fillId="15" borderId="0" xfId="0" applyNumberFormat="1" applyFill="1"/>
    <xf numFmtId="6" fontId="0" fillId="0" borderId="15" xfId="0" applyNumberFormat="1" applyBorder="1"/>
    <xf numFmtId="0" fontId="15" fillId="11" borderId="41" xfId="0" applyFont="1" applyFill="1" applyBorder="1"/>
    <xf numFmtId="0" fontId="15" fillId="11" borderId="34" xfId="0" applyFont="1" applyFill="1" applyBorder="1"/>
    <xf numFmtId="0" fontId="15" fillId="11" borderId="6" xfId="0" applyFont="1" applyFill="1" applyBorder="1"/>
    <xf numFmtId="0" fontId="15" fillId="11" borderId="33" xfId="0" applyFont="1" applyFill="1" applyBorder="1"/>
    <xf numFmtId="0" fontId="15" fillId="11" borderId="31" xfId="0" applyFont="1" applyFill="1" applyBorder="1"/>
    <xf numFmtId="2" fontId="33" fillId="0" borderId="18" xfId="0" applyNumberFormat="1" applyFont="1" applyBorder="1"/>
    <xf numFmtId="3" fontId="18" fillId="0" borderId="0" xfId="0" applyNumberFormat="1" applyFont="1" applyFill="1" applyBorder="1"/>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15" fillId="0" borderId="0" xfId="0" applyFont="1" applyFill="1" applyBorder="1" applyAlignment="1">
      <alignment horizontal="center"/>
    </xf>
    <xf numFmtId="0" fontId="3" fillId="16" borderId="2" xfId="0" applyFont="1" applyFill="1" applyBorder="1" applyAlignment="1">
      <alignment horizontal="center"/>
    </xf>
    <xf numFmtId="0" fontId="3" fillId="0" borderId="2" xfId="0" applyFont="1" applyFill="1" applyBorder="1" applyAlignment="1">
      <alignment horizontal="left" wrapText="1"/>
    </xf>
    <xf numFmtId="0" fontId="0" fillId="7" borderId="19" xfId="0" applyFill="1" applyBorder="1" applyAlignment="1">
      <alignment horizontal="center"/>
    </xf>
    <xf numFmtId="0" fontId="0" fillId="7" borderId="22" xfId="0" applyFill="1" applyBorder="1" applyAlignment="1">
      <alignment horizontal="center"/>
    </xf>
    <xf numFmtId="0" fontId="3" fillId="0" borderId="2" xfId="0" applyFont="1" applyBorder="1" applyAlignment="1">
      <alignment horizontal="left" wrapText="1"/>
    </xf>
    <xf numFmtId="0" fontId="3" fillId="0" borderId="19"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169" fontId="3" fillId="0" borderId="0" xfId="0" applyNumberFormat="1" applyFont="1" applyFill="1" applyBorder="1" applyAlignment="1">
      <alignment horizontal="left"/>
    </xf>
    <xf numFmtId="169" fontId="3" fillId="0" borderId="0" xfId="0" applyNumberFormat="1" applyFont="1" applyFill="1" applyBorder="1" applyAlignment="1">
      <alignment horizontal="center"/>
    </xf>
    <xf numFmtId="0" fontId="3" fillId="0" borderId="0" xfId="0" applyFont="1" applyAlignment="1">
      <alignment horizontal="center"/>
    </xf>
  </cellXfs>
  <cellStyles count="5">
    <cellStyle name="Comma" xfId="1" builtinId="3"/>
    <cellStyle name="Heading 2" xfId="3" builtinId="17"/>
    <cellStyle name="Hyperlink" xfId="4"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6</xdr:col>
      <xdr:colOff>555625</xdr:colOff>
      <xdr:row>23</xdr:row>
      <xdr:rowOff>69850</xdr:rowOff>
    </xdr:to>
    <xdr:pic>
      <xdr:nvPicPr>
        <xdr:cNvPr id="4" name="Picture 3">
          <a:extLst>
            <a:ext uri="{FF2B5EF4-FFF2-40B4-BE49-F238E27FC236}">
              <a16:creationId xmlns:a16="http://schemas.microsoft.com/office/drawing/2014/main" id="{3C0DC567-4683-47C4-B4FC-D8067B76CF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68875" y="5324475"/>
          <a:ext cx="2384425" cy="76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dd.com/" TargetMode="External"/><Relationship Id="rId1" Type="http://schemas.openxmlformats.org/officeDocument/2006/relationships/hyperlink" Target="http://www.johncmartinassociat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31"/>
  <sheetViews>
    <sheetView showGridLines="0" tabSelected="1" topLeftCell="A25" workbookViewId="0">
      <selection activeCell="B30" sqref="B30"/>
    </sheetView>
  </sheetViews>
  <sheetFormatPr defaultRowHeight="14.75" x14ac:dyDescent="0.75"/>
  <cols>
    <col min="2" max="2" width="64.7265625" bestFit="1" customWidth="1"/>
  </cols>
  <sheetData>
    <row r="2" spans="2:9" ht="27.5" x14ac:dyDescent="1.1000000000000001">
      <c r="B2" s="102"/>
      <c r="C2" s="102"/>
      <c r="D2" s="102"/>
      <c r="E2" s="102"/>
      <c r="F2" s="102"/>
      <c r="G2" s="102"/>
      <c r="H2" s="102"/>
      <c r="I2" s="100"/>
    </row>
    <row r="3" spans="2:9" ht="27.5" x14ac:dyDescent="1.1000000000000001">
      <c r="B3" s="102"/>
      <c r="C3" s="102"/>
      <c r="D3" s="102"/>
      <c r="E3" s="102"/>
      <c r="F3" s="102"/>
      <c r="G3" s="102"/>
      <c r="H3" s="102"/>
      <c r="I3" s="100"/>
    </row>
    <row r="4" spans="2:9" ht="27.5" x14ac:dyDescent="1.1000000000000001">
      <c r="B4" s="87"/>
      <c r="C4" s="87"/>
      <c r="D4" s="87"/>
      <c r="E4" s="87"/>
      <c r="F4" s="87"/>
      <c r="G4" s="87"/>
      <c r="H4" s="87"/>
    </row>
    <row r="5" spans="2:9" ht="27.5" x14ac:dyDescent="1.1000000000000001">
      <c r="C5" s="87"/>
      <c r="D5" s="87"/>
      <c r="E5" s="87"/>
      <c r="F5" s="87"/>
      <c r="G5" s="87"/>
      <c r="H5" s="87"/>
    </row>
    <row r="6" spans="2:9" ht="27.5" x14ac:dyDescent="1.1000000000000001">
      <c r="C6" s="87"/>
      <c r="D6" s="87"/>
      <c r="E6" s="87"/>
      <c r="F6" s="87"/>
      <c r="G6" s="87"/>
      <c r="H6" s="87"/>
    </row>
    <row r="7" spans="2:9" ht="27.5" x14ac:dyDescent="1.1000000000000001">
      <c r="C7" s="87"/>
      <c r="D7" s="87"/>
      <c r="E7" s="87"/>
      <c r="F7" s="87"/>
      <c r="G7" s="87"/>
      <c r="H7" s="87"/>
    </row>
    <row r="8" spans="2:9" ht="27.5" x14ac:dyDescent="1.1000000000000001">
      <c r="C8" s="87"/>
      <c r="D8" s="87"/>
      <c r="E8" s="87"/>
      <c r="F8" s="87"/>
      <c r="G8" s="87"/>
      <c r="H8" s="87"/>
    </row>
    <row r="9" spans="2:9" ht="27.5" x14ac:dyDescent="1.1000000000000001">
      <c r="B9" s="100"/>
      <c r="C9" s="87"/>
      <c r="D9" s="87"/>
      <c r="E9" s="87"/>
      <c r="F9" s="87"/>
      <c r="G9" s="87"/>
      <c r="H9" s="87"/>
    </row>
    <row r="10" spans="2:9" ht="55" customHeight="1" x14ac:dyDescent="0.75"/>
    <row r="11" spans="2:9" ht="86.25" x14ac:dyDescent="1.35">
      <c r="B11" s="105" t="s">
        <v>288</v>
      </c>
    </row>
    <row r="12" spans="2:9" ht="28.75" x14ac:dyDescent="1.35">
      <c r="B12" s="105"/>
    </row>
    <row r="13" spans="2:9" ht="28.75" x14ac:dyDescent="1.35">
      <c r="B13" s="105"/>
    </row>
    <row r="14" spans="2:9" ht="23.5" x14ac:dyDescent="1.1000000000000001">
      <c r="B14" s="107"/>
    </row>
    <row r="15" spans="2:9" ht="23.5" x14ac:dyDescent="0.75">
      <c r="B15" s="364" t="s">
        <v>252</v>
      </c>
    </row>
    <row r="16" spans="2:9" ht="23.5" x14ac:dyDescent="0.75">
      <c r="B16" s="365" t="s">
        <v>253</v>
      </c>
    </row>
    <row r="17" spans="2:2" ht="23.5" x14ac:dyDescent="0.75">
      <c r="B17" s="364" t="s">
        <v>254</v>
      </c>
    </row>
    <row r="18" spans="2:2" ht="23.5" x14ac:dyDescent="0.75">
      <c r="B18" s="364" t="s">
        <v>255</v>
      </c>
    </row>
    <row r="19" spans="2:2" ht="23.5" x14ac:dyDescent="0.75">
      <c r="B19" s="366" t="s">
        <v>256</v>
      </c>
    </row>
    <row r="20" spans="2:2" ht="23.5" x14ac:dyDescent="0.75">
      <c r="B20" s="364"/>
    </row>
    <row r="21" spans="2:2" ht="26" x14ac:dyDescent="1.2">
      <c r="B21" s="104" t="s">
        <v>158</v>
      </c>
    </row>
    <row r="22" spans="2:2" ht="27.5" x14ac:dyDescent="1.1000000000000001">
      <c r="B22" s="87" t="s">
        <v>150</v>
      </c>
    </row>
    <row r="23" spans="2:2" ht="27.5" x14ac:dyDescent="1.1000000000000001">
      <c r="B23" s="87" t="s">
        <v>151</v>
      </c>
    </row>
    <row r="24" spans="2:2" ht="27.5" x14ac:dyDescent="1.1000000000000001">
      <c r="B24" s="87" t="s">
        <v>152</v>
      </c>
    </row>
    <row r="25" spans="2:2" ht="27.5" x14ac:dyDescent="1.1000000000000001">
      <c r="B25" s="93"/>
    </row>
    <row r="26" spans="2:2" ht="26" x14ac:dyDescent="1.2">
      <c r="B26" s="103" t="s">
        <v>156</v>
      </c>
    </row>
    <row r="30" spans="2:2" ht="32.25" x14ac:dyDescent="1.25">
      <c r="B30" s="165">
        <v>44690</v>
      </c>
    </row>
    <row r="31" spans="2:2" ht="28" x14ac:dyDescent="1.2">
      <c r="B31" s="106"/>
    </row>
  </sheetData>
  <hyperlinks>
    <hyperlink ref="B26" r:id="rId1" xr:uid="{00000000-0004-0000-0000-000000000000}"/>
    <hyperlink ref="B19" r:id="rId2" display="http://www.asdd.com/" xr:uid="{04404091-8D78-4188-94E5-5A271168088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25"/>
  <sheetViews>
    <sheetView topLeftCell="O70" zoomScale="70" zoomScaleNormal="70" workbookViewId="0">
      <selection activeCell="Q78" sqref="Q78:AU81"/>
    </sheetView>
  </sheetViews>
  <sheetFormatPr defaultColWidth="9.1796875" defaultRowHeight="14.75" x14ac:dyDescent="0.75"/>
  <cols>
    <col min="1" max="1" width="2" style="3" customWidth="1"/>
    <col min="2" max="2" width="3.81640625" style="3" customWidth="1"/>
    <col min="3" max="3" width="43.54296875" style="3" customWidth="1"/>
    <col min="4" max="4" width="3.81640625" style="3" customWidth="1"/>
    <col min="5" max="5" width="33.54296875" style="1" bestFit="1" customWidth="1"/>
    <col min="6" max="6" width="3.81640625" style="1" customWidth="1"/>
    <col min="7" max="7" width="14.26953125" style="3" customWidth="1"/>
    <col min="8" max="8" width="3.81640625" style="3" customWidth="1"/>
    <col min="9" max="9" width="15.453125" style="3" customWidth="1"/>
    <col min="10" max="10" width="12.7265625" style="3" customWidth="1"/>
    <col min="11" max="11" width="15.1796875" style="3" customWidth="1"/>
    <col min="12" max="12" width="3.81640625" style="3" customWidth="1"/>
    <col min="13" max="13" width="20.26953125" style="3" customWidth="1"/>
    <col min="14" max="14" width="18.26953125" style="3" customWidth="1"/>
    <col min="15" max="15" width="94.453125" style="3" customWidth="1"/>
    <col min="16" max="16" width="12.1796875" style="3" bestFit="1" customWidth="1"/>
    <col min="17" max="18" width="9.1796875" style="3"/>
    <col min="19" max="19" width="16" style="3" customWidth="1"/>
    <col min="20" max="16384" width="9.1796875" style="3"/>
  </cols>
  <sheetData>
    <row r="1" spans="1:25" x14ac:dyDescent="0.75">
      <c r="A1" s="2"/>
    </row>
    <row r="2" spans="1:25" s="4" customFormat="1" ht="18.5" x14ac:dyDescent="0.75">
      <c r="B2" s="367"/>
      <c r="C2" s="5" t="s">
        <v>0</v>
      </c>
      <c r="D2" s="5"/>
      <c r="E2" s="368"/>
      <c r="F2" s="368"/>
      <c r="G2" s="6"/>
      <c r="H2" s="369"/>
      <c r="I2" s="369"/>
      <c r="J2" s="369"/>
      <c r="K2" s="369"/>
      <c r="L2" s="367"/>
      <c r="M2" s="369"/>
      <c r="N2" s="369"/>
      <c r="O2" s="369"/>
      <c r="P2" s="367"/>
    </row>
    <row r="3" spans="1:25" x14ac:dyDescent="0.75">
      <c r="Y3" s="3" t="s">
        <v>92</v>
      </c>
    </row>
    <row r="4" spans="1:25" s="7" customFormat="1" ht="17.25" x14ac:dyDescent="0.75">
      <c r="B4" s="8"/>
      <c r="C4" s="9" t="s">
        <v>1</v>
      </c>
      <c r="D4" s="8"/>
      <c r="E4" s="10"/>
      <c r="F4" s="10"/>
      <c r="G4" s="8"/>
      <c r="H4" s="8"/>
      <c r="I4" s="8"/>
      <c r="J4" s="8"/>
      <c r="K4" s="8"/>
      <c r="L4" s="8"/>
      <c r="M4" s="8"/>
      <c r="N4" s="8"/>
      <c r="O4" s="8"/>
      <c r="P4" s="8"/>
      <c r="X4" s="3">
        <v>2000</v>
      </c>
      <c r="Y4" s="370">
        <v>173.6</v>
      </c>
    </row>
    <row r="5" spans="1:25" x14ac:dyDescent="0.75">
      <c r="X5" s="3">
        <f>X4+1</f>
        <v>2001</v>
      </c>
      <c r="Y5" s="370">
        <v>177.5</v>
      </c>
    </row>
    <row r="6" spans="1:25" x14ac:dyDescent="0.75">
      <c r="C6" s="131" t="s">
        <v>2</v>
      </c>
      <c r="D6" s="41"/>
      <c r="E6" s="147"/>
      <c r="F6" s="41"/>
      <c r="G6" s="11">
        <v>0.03</v>
      </c>
      <c r="M6" s="3" t="s">
        <v>100</v>
      </c>
      <c r="N6" s="74" t="s">
        <v>101</v>
      </c>
      <c r="X6" s="3">
        <f>X5+1</f>
        <v>2002</v>
      </c>
      <c r="Y6" s="370">
        <v>180.9</v>
      </c>
    </row>
    <row r="7" spans="1:25" x14ac:dyDescent="0.75">
      <c r="C7" s="131" t="s">
        <v>3</v>
      </c>
      <c r="D7" s="41"/>
      <c r="E7" s="147"/>
      <c r="F7" s="41"/>
      <c r="G7" s="12">
        <v>2018</v>
      </c>
      <c r="N7" s="209"/>
      <c r="X7" s="3">
        <f t="shared" ref="X7:X13" si="0">X6+1</f>
        <v>2003</v>
      </c>
      <c r="Y7" s="370">
        <v>184.6</v>
      </c>
    </row>
    <row r="8" spans="1:25" x14ac:dyDescent="0.75">
      <c r="C8" s="41"/>
      <c r="D8" s="41"/>
      <c r="E8" s="148"/>
      <c r="F8" s="148"/>
      <c r="G8" s="41"/>
      <c r="M8" s="3">
        <v>2000</v>
      </c>
      <c r="N8" s="209">
        <v>173.6</v>
      </c>
      <c r="X8" s="3">
        <f t="shared" si="0"/>
        <v>2004</v>
      </c>
      <c r="Y8" s="370">
        <v>190.2</v>
      </c>
    </row>
    <row r="9" spans="1:25" x14ac:dyDescent="0.75">
      <c r="C9" s="131" t="s">
        <v>4</v>
      </c>
      <c r="D9" s="41"/>
      <c r="E9" s="148"/>
      <c r="F9" s="148"/>
      <c r="G9" s="41"/>
      <c r="M9" s="3">
        <v>2005</v>
      </c>
      <c r="N9" s="209">
        <v>197.4</v>
      </c>
      <c r="X9" s="3">
        <f t="shared" si="0"/>
        <v>2005</v>
      </c>
      <c r="Y9" s="370">
        <v>197.4</v>
      </c>
    </row>
    <row r="10" spans="1:25" x14ac:dyDescent="0.75">
      <c r="C10" s="149" t="s">
        <v>5</v>
      </c>
      <c r="D10" s="41"/>
      <c r="E10" s="14" t="s">
        <v>6</v>
      </c>
      <c r="F10" s="148"/>
      <c r="G10" s="15">
        <v>1000000</v>
      </c>
      <c r="M10" s="3">
        <f>X13+1</f>
        <v>2010</v>
      </c>
      <c r="N10" s="371">
        <v>218.57599999999999</v>
      </c>
      <c r="X10" s="3">
        <f t="shared" si="0"/>
        <v>2006</v>
      </c>
      <c r="Y10" s="370">
        <v>202.6</v>
      </c>
    </row>
    <row r="11" spans="1:25" x14ac:dyDescent="0.75">
      <c r="C11" s="149" t="s">
        <v>7</v>
      </c>
      <c r="D11" s="41"/>
      <c r="E11" s="16" t="s">
        <v>8</v>
      </c>
      <c r="F11" s="148"/>
      <c r="G11" s="17">
        <v>0.98420353329068466</v>
      </c>
      <c r="M11" s="3">
        <f t="shared" ref="M11:M17" si="1">M10+1</f>
        <v>2011</v>
      </c>
      <c r="N11" s="371">
        <v>226.28</v>
      </c>
      <c r="X11" s="3">
        <f t="shared" si="0"/>
        <v>2007</v>
      </c>
      <c r="Y11" s="370">
        <v>208.976</v>
      </c>
    </row>
    <row r="12" spans="1:25" x14ac:dyDescent="0.75">
      <c r="C12" s="149" t="s">
        <v>9</v>
      </c>
      <c r="D12" s="41"/>
      <c r="E12" s="16" t="s">
        <v>10</v>
      </c>
      <c r="F12" s="41"/>
      <c r="G12" s="18">
        <v>1.1023113595279992</v>
      </c>
      <c r="M12" s="3">
        <f t="shared" si="1"/>
        <v>2012</v>
      </c>
      <c r="N12" s="371">
        <v>230.33799999999999</v>
      </c>
      <c r="X12" s="3">
        <f t="shared" si="0"/>
        <v>2008</v>
      </c>
      <c r="Y12" s="370">
        <v>216.17699999999999</v>
      </c>
    </row>
    <row r="13" spans="1:25" x14ac:dyDescent="0.75">
      <c r="C13" s="149" t="s">
        <v>11</v>
      </c>
      <c r="D13" s="41"/>
      <c r="E13" s="16" t="s">
        <v>12</v>
      </c>
      <c r="F13" s="41"/>
      <c r="G13" s="19">
        <v>2204.62</v>
      </c>
      <c r="M13" s="3">
        <f t="shared" si="1"/>
        <v>2013</v>
      </c>
      <c r="N13" s="371">
        <v>233.548</v>
      </c>
      <c r="X13" s="3">
        <f t="shared" si="0"/>
        <v>2009</v>
      </c>
      <c r="Y13" s="370">
        <v>215.935</v>
      </c>
    </row>
    <row r="14" spans="1:25" x14ac:dyDescent="0.75">
      <c r="C14" s="149" t="s">
        <v>13</v>
      </c>
      <c r="D14" s="41"/>
      <c r="E14" s="16" t="s">
        <v>14</v>
      </c>
      <c r="F14" s="41"/>
      <c r="G14" s="18">
        <v>1.6093440000000001</v>
      </c>
      <c r="M14" s="3">
        <f t="shared" si="1"/>
        <v>2014</v>
      </c>
      <c r="N14" s="371">
        <v>237.08799999999999</v>
      </c>
    </row>
    <row r="15" spans="1:25" x14ac:dyDescent="0.75">
      <c r="C15" s="149" t="s">
        <v>15</v>
      </c>
      <c r="D15" s="41"/>
      <c r="E15" s="16" t="s">
        <v>16</v>
      </c>
      <c r="F15" s="41"/>
      <c r="G15" s="20">
        <v>5280</v>
      </c>
      <c r="M15" s="3">
        <f t="shared" si="1"/>
        <v>2015</v>
      </c>
      <c r="N15" s="371">
        <v>237.76900000000001</v>
      </c>
    </row>
    <row r="16" spans="1:25" x14ac:dyDescent="0.75">
      <c r="C16" s="149" t="s">
        <v>17</v>
      </c>
      <c r="D16" s="115"/>
      <c r="E16" s="16" t="s">
        <v>18</v>
      </c>
      <c r="F16" s="115"/>
      <c r="G16" s="20">
        <v>1000000</v>
      </c>
      <c r="M16" s="3">
        <f t="shared" si="1"/>
        <v>2016</v>
      </c>
      <c r="N16" s="371">
        <v>241.23699999999999</v>
      </c>
    </row>
    <row r="17" spans="2:27" x14ac:dyDescent="0.75">
      <c r="C17" s="149" t="s">
        <v>19</v>
      </c>
      <c r="D17" s="115"/>
      <c r="E17" s="16" t="s">
        <v>20</v>
      </c>
      <c r="F17" s="115"/>
      <c r="G17" s="21">
        <v>1.0160499999999999</v>
      </c>
      <c r="M17" s="3">
        <f t="shared" si="1"/>
        <v>2017</v>
      </c>
      <c r="N17" s="371">
        <v>246.16300000000001</v>
      </c>
    </row>
    <row r="18" spans="2:27" x14ac:dyDescent="0.75">
      <c r="C18" s="13"/>
      <c r="D18"/>
      <c r="E18" s="372"/>
      <c r="F18"/>
      <c r="M18" s="3">
        <v>2018</v>
      </c>
      <c r="N18" s="371">
        <v>251.58799999999999</v>
      </c>
    </row>
    <row r="19" spans="2:27" x14ac:dyDescent="0.75">
      <c r="C19" s="13"/>
      <c r="D19"/>
      <c r="E19" s="372"/>
      <c r="F19"/>
      <c r="M19" s="3">
        <v>2019</v>
      </c>
      <c r="N19" s="173">
        <v>255.65</v>
      </c>
      <c r="O19" s="3" t="s">
        <v>169</v>
      </c>
    </row>
    <row r="20" spans="2:27" x14ac:dyDescent="0.75">
      <c r="C20" s="13"/>
      <c r="E20" s="372"/>
      <c r="F20" s="3"/>
      <c r="G20" s="373"/>
      <c r="M20" s="374">
        <v>2020</v>
      </c>
      <c r="N20" s="209">
        <v>258.81099999999998</v>
      </c>
    </row>
    <row r="21" spans="2:27" s="7" customFormat="1" ht="17.25" x14ac:dyDescent="0.75">
      <c r="B21" s="8"/>
      <c r="C21" s="9" t="s">
        <v>21</v>
      </c>
      <c r="D21" s="8"/>
      <c r="E21" s="22"/>
      <c r="F21" s="10"/>
      <c r="G21" s="8"/>
      <c r="H21" s="8"/>
      <c r="I21" s="8"/>
      <c r="J21" s="8"/>
      <c r="K21" s="8"/>
      <c r="L21" s="8"/>
      <c r="M21" s="8"/>
      <c r="N21" s="8"/>
      <c r="O21" s="8"/>
      <c r="P21" s="8"/>
    </row>
    <row r="22" spans="2:27" x14ac:dyDescent="0.75">
      <c r="E22" s="23"/>
      <c r="I22" s="3" t="s">
        <v>257</v>
      </c>
    </row>
    <row r="23" spans="2:27" x14ac:dyDescent="0.75">
      <c r="C23" s="151" t="s">
        <v>22</v>
      </c>
      <c r="D23" s="41"/>
      <c r="E23" s="14"/>
      <c r="F23" s="148"/>
      <c r="G23" s="152" t="s">
        <v>96</v>
      </c>
      <c r="H23" s="153"/>
      <c r="I23" s="152">
        <v>2020</v>
      </c>
      <c r="J23" s="24"/>
      <c r="K23" s="24"/>
      <c r="M23" s="25"/>
      <c r="O23" s="26"/>
      <c r="AA23" s="3" t="e">
        <f>M10:N17</f>
        <v>#VALUE!</v>
      </c>
    </row>
    <row r="24" spans="2:27" x14ac:dyDescent="0.75">
      <c r="C24" s="149" t="s">
        <v>23</v>
      </c>
      <c r="D24" s="41"/>
      <c r="E24" s="14" t="s">
        <v>90</v>
      </c>
      <c r="F24" s="148"/>
      <c r="G24" s="27">
        <v>27.2</v>
      </c>
      <c r="H24" s="153"/>
      <c r="I24" s="231">
        <f t="shared" ref="I24:I26" si="2">G24*($N$20/$N$15)</f>
        <v>29.607136338210616</v>
      </c>
      <c r="J24" s="150"/>
      <c r="K24" s="108"/>
      <c r="M24" s="25"/>
      <c r="O24" s="419" t="s">
        <v>91</v>
      </c>
    </row>
    <row r="25" spans="2:27" x14ac:dyDescent="0.75">
      <c r="C25" s="149" t="s">
        <v>24</v>
      </c>
      <c r="D25" s="41"/>
      <c r="E25" s="14" t="s">
        <v>90</v>
      </c>
      <c r="F25" s="148"/>
      <c r="G25" s="27">
        <v>28.3</v>
      </c>
      <c r="H25" s="153"/>
      <c r="I25" s="231">
        <f t="shared" si="2"/>
        <v>30.804483763652957</v>
      </c>
      <c r="J25" s="150"/>
      <c r="K25" s="108"/>
      <c r="M25" s="25"/>
      <c r="O25" s="420"/>
    </row>
    <row r="26" spans="2:27" x14ac:dyDescent="0.75">
      <c r="C26" s="149" t="s">
        <v>25</v>
      </c>
      <c r="D26" s="41"/>
      <c r="E26" s="14" t="s">
        <v>90</v>
      </c>
      <c r="F26" s="148"/>
      <c r="G26" s="27">
        <v>41.6</v>
      </c>
      <c r="H26" s="153"/>
      <c r="I26" s="231">
        <f t="shared" si="2"/>
        <v>45.281502634910353</v>
      </c>
      <c r="J26" s="150"/>
      <c r="K26" s="108"/>
      <c r="M26" s="25"/>
      <c r="O26" s="420"/>
    </row>
    <row r="27" spans="2:27" x14ac:dyDescent="0.75">
      <c r="C27" s="149" t="s">
        <v>26</v>
      </c>
      <c r="D27" s="41"/>
      <c r="E27" s="14" t="s">
        <v>90</v>
      </c>
      <c r="F27" s="148"/>
      <c r="G27" s="27">
        <v>86.7</v>
      </c>
      <c r="H27" s="153"/>
      <c r="I27" s="231">
        <f>G27*($N$20/$N$15)</f>
        <v>94.372747078046345</v>
      </c>
      <c r="J27" s="150"/>
      <c r="K27" s="108"/>
      <c r="M27" s="25"/>
      <c r="O27" s="421"/>
    </row>
    <row r="28" spans="2:27" x14ac:dyDescent="0.75">
      <c r="C28" s="151" t="s">
        <v>28</v>
      </c>
      <c r="D28" s="41"/>
      <c r="E28" s="14"/>
      <c r="F28" s="148"/>
      <c r="G28" s="153"/>
      <c r="H28" s="153"/>
      <c r="I28" s="153"/>
      <c r="J28" s="24"/>
      <c r="K28" s="24"/>
      <c r="M28" s="25"/>
      <c r="O28" s="26"/>
    </row>
    <row r="29" spans="2:27" x14ac:dyDescent="0.75">
      <c r="C29" s="149" t="s">
        <v>29</v>
      </c>
      <c r="D29" s="41"/>
      <c r="E29" s="14" t="s">
        <v>30</v>
      </c>
      <c r="F29" s="148"/>
      <c r="G29" s="30">
        <v>1</v>
      </c>
      <c r="H29" s="154"/>
      <c r="I29" s="115"/>
      <c r="J29"/>
      <c r="K29"/>
      <c r="M29" s="25"/>
      <c r="O29" s="155" t="s">
        <v>93</v>
      </c>
    </row>
    <row r="30" spans="2:27" x14ac:dyDescent="0.75">
      <c r="C30" s="149" t="s">
        <v>31</v>
      </c>
      <c r="D30" s="41"/>
      <c r="E30" s="14" t="s">
        <v>32</v>
      </c>
      <c r="F30" s="148"/>
      <c r="G30" s="30">
        <v>2</v>
      </c>
      <c r="H30" s="154"/>
      <c r="I30" s="115"/>
      <c r="J30"/>
      <c r="K30"/>
      <c r="M30" s="25"/>
      <c r="O30" s="155" t="s">
        <v>94</v>
      </c>
    </row>
    <row r="31" spans="2:27" x14ac:dyDescent="0.75">
      <c r="C31" s="26"/>
      <c r="E31" s="23"/>
      <c r="I31" s="3" t="s">
        <v>204</v>
      </c>
      <c r="M31" s="25"/>
      <c r="O31" s="26"/>
    </row>
    <row r="32" spans="2:27" s="7" customFormat="1" ht="17.25" x14ac:dyDescent="0.75">
      <c r="B32" s="8"/>
      <c r="C32" s="9" t="s">
        <v>33</v>
      </c>
      <c r="D32" s="8"/>
      <c r="E32" s="22"/>
      <c r="F32" s="10"/>
      <c r="G32" s="8"/>
      <c r="H32" s="8"/>
      <c r="I32" s="8"/>
      <c r="J32" s="8"/>
      <c r="K32" s="8"/>
      <c r="L32" s="8"/>
      <c r="M32" s="8"/>
      <c r="N32" s="8"/>
      <c r="O32" s="8"/>
      <c r="P32" s="8"/>
    </row>
    <row r="33" spans="2:19" x14ac:dyDescent="0.75">
      <c r="C33" s="3" t="s">
        <v>154</v>
      </c>
      <c r="E33" s="23"/>
      <c r="O33" s="26"/>
    </row>
    <row r="34" spans="2:19" s="43" customFormat="1" x14ac:dyDescent="0.75">
      <c r="C34" s="44" t="s">
        <v>34</v>
      </c>
      <c r="E34" s="375"/>
      <c r="F34" s="376"/>
      <c r="G34" s="45"/>
      <c r="H34" s="45"/>
      <c r="I34" s="45"/>
      <c r="J34" s="45"/>
      <c r="K34" s="45"/>
      <c r="M34" s="377"/>
      <c r="O34" s="378"/>
    </row>
    <row r="35" spans="2:19" s="43" customFormat="1" x14ac:dyDescent="0.75">
      <c r="C35" s="46" t="s">
        <v>35</v>
      </c>
      <c r="E35" s="47" t="s">
        <v>36</v>
      </c>
      <c r="F35" s="376"/>
      <c r="G35" s="48">
        <v>9.7557821412300694</v>
      </c>
      <c r="H35" s="45"/>
      <c r="I35" s="49"/>
      <c r="J35" s="49"/>
      <c r="K35" s="49"/>
      <c r="M35" s="377"/>
      <c r="O35" s="50" t="s">
        <v>37</v>
      </c>
    </row>
    <row r="36" spans="2:19" s="43" customFormat="1" x14ac:dyDescent="0.75">
      <c r="C36" s="44" t="s">
        <v>38</v>
      </c>
      <c r="E36" s="375"/>
      <c r="F36" s="376"/>
      <c r="G36" s="49"/>
      <c r="H36" s="45"/>
      <c r="I36" s="49"/>
      <c r="J36" s="49"/>
      <c r="K36" s="49"/>
      <c r="M36" s="377"/>
      <c r="O36" s="378"/>
    </row>
    <row r="37" spans="2:19" s="43" customFormat="1" x14ac:dyDescent="0.75">
      <c r="C37" s="46" t="s">
        <v>39</v>
      </c>
      <c r="E37" s="47" t="s">
        <v>40</v>
      </c>
      <c r="F37" s="376"/>
      <c r="G37" s="48">
        <v>3.9017667729688688</v>
      </c>
      <c r="H37" s="45"/>
      <c r="I37" s="49"/>
      <c r="J37" s="49"/>
      <c r="K37" s="49"/>
      <c r="M37" s="377"/>
      <c r="O37" s="50" t="s">
        <v>37</v>
      </c>
    </row>
    <row r="38" spans="2:19" x14ac:dyDescent="0.75">
      <c r="E38" s="31"/>
      <c r="F38" s="3"/>
      <c r="G38" s="32"/>
      <c r="H38" s="32"/>
      <c r="I38" s="32"/>
      <c r="J38" s="32"/>
      <c r="K38" s="32"/>
    </row>
    <row r="39" spans="2:19" s="7" customFormat="1" ht="17.25" x14ac:dyDescent="0.75">
      <c r="B39" s="8"/>
      <c r="C39" s="9" t="s">
        <v>41</v>
      </c>
      <c r="D39" s="8"/>
      <c r="E39" s="22"/>
      <c r="F39" s="10"/>
      <c r="G39" s="8"/>
      <c r="H39" s="8"/>
      <c r="I39" s="8"/>
      <c r="J39" s="8"/>
      <c r="K39" s="8"/>
      <c r="L39" s="8"/>
      <c r="M39" s="8"/>
      <c r="N39" s="8"/>
      <c r="O39" s="8"/>
      <c r="P39" s="8"/>
    </row>
    <row r="40" spans="2:19" x14ac:dyDescent="0.75">
      <c r="E40" s="23"/>
    </row>
    <row r="41" spans="2:19" x14ac:dyDescent="0.75">
      <c r="C41" s="138" t="s">
        <v>42</v>
      </c>
      <c r="D41" s="41"/>
      <c r="E41" s="14"/>
      <c r="F41" s="148"/>
      <c r="G41" s="379"/>
      <c r="H41" s="24"/>
      <c r="I41" s="380"/>
      <c r="J41" s="380"/>
      <c r="K41" s="380"/>
      <c r="M41" s="25"/>
      <c r="O41" s="26"/>
    </row>
    <row r="42" spans="2:19" x14ac:dyDescent="0.75">
      <c r="C42" s="149" t="s">
        <v>43</v>
      </c>
      <c r="D42" s="41"/>
      <c r="E42" s="14" t="s">
        <v>44</v>
      </c>
      <c r="F42" s="148"/>
      <c r="G42" s="30">
        <v>2.54</v>
      </c>
      <c r="H42" s="24"/>
      <c r="I42" s="380"/>
      <c r="J42" s="380"/>
      <c r="K42" s="380"/>
      <c r="M42" s="25"/>
      <c r="O42" s="419" t="s">
        <v>98</v>
      </c>
    </row>
    <row r="43" spans="2:19" x14ac:dyDescent="0.75">
      <c r="C43" s="149" t="s">
        <v>45</v>
      </c>
      <c r="D43" s="41"/>
      <c r="E43" s="14" t="s">
        <v>44</v>
      </c>
      <c r="F43" s="148"/>
      <c r="G43" s="30">
        <v>0.39</v>
      </c>
      <c r="H43" s="24"/>
      <c r="I43" s="380"/>
      <c r="J43" s="380"/>
      <c r="K43" s="380"/>
      <c r="M43" s="25"/>
      <c r="O43" s="420"/>
      <c r="S43" s="33"/>
    </row>
    <row r="44" spans="2:19" x14ac:dyDescent="0.75">
      <c r="C44" s="149" t="s">
        <v>46</v>
      </c>
      <c r="D44" s="41"/>
      <c r="E44" s="14" t="s">
        <v>44</v>
      </c>
      <c r="F44" s="148"/>
      <c r="G44" s="30">
        <v>0.01</v>
      </c>
      <c r="H44" s="24"/>
      <c r="I44" s="380"/>
      <c r="J44" s="380"/>
      <c r="K44" s="380"/>
      <c r="M44" s="25"/>
      <c r="O44" s="420"/>
      <c r="S44" s="33"/>
    </row>
    <row r="45" spans="2:19" x14ac:dyDescent="0.75">
      <c r="C45" s="149"/>
      <c r="D45" s="41"/>
      <c r="E45" s="14"/>
      <c r="F45" s="148"/>
      <c r="G45" s="154"/>
      <c r="H45" s="24"/>
      <c r="I45" s="380"/>
      <c r="J45" s="380"/>
      <c r="K45" s="380"/>
      <c r="M45" s="25"/>
      <c r="O45" s="420"/>
    </row>
    <row r="46" spans="2:19" x14ac:dyDescent="0.75">
      <c r="C46" s="138" t="s">
        <v>47</v>
      </c>
      <c r="D46" s="41"/>
      <c r="E46" s="14"/>
      <c r="F46" s="148"/>
      <c r="G46" s="379"/>
      <c r="H46" s="24"/>
      <c r="I46" s="380"/>
      <c r="J46" s="380"/>
      <c r="K46" s="380"/>
      <c r="M46" s="25"/>
      <c r="O46" s="420"/>
    </row>
    <row r="47" spans="2:19" x14ac:dyDescent="0.75">
      <c r="C47" s="149" t="s">
        <v>43</v>
      </c>
      <c r="D47" s="41"/>
      <c r="E47" s="14" t="s">
        <v>48</v>
      </c>
      <c r="F47" s="148"/>
      <c r="G47" s="30">
        <v>55.98</v>
      </c>
      <c r="H47" s="24"/>
      <c r="I47" s="380"/>
      <c r="J47" s="380"/>
      <c r="K47" s="380"/>
      <c r="M47" s="25"/>
      <c r="O47" s="420"/>
    </row>
    <row r="48" spans="2:19" x14ac:dyDescent="0.75">
      <c r="C48" s="149" t="s">
        <v>45</v>
      </c>
      <c r="D48" s="41"/>
      <c r="E48" s="14" t="s">
        <v>48</v>
      </c>
      <c r="F48" s="148"/>
      <c r="G48" s="30">
        <v>3.32</v>
      </c>
      <c r="H48" s="24"/>
      <c r="I48" s="380"/>
      <c r="J48" s="380"/>
      <c r="K48" s="380"/>
      <c r="M48" s="25"/>
      <c r="O48" s="420"/>
    </row>
    <row r="49" spans="2:18" x14ac:dyDescent="0.75">
      <c r="C49" s="149" t="s">
        <v>46</v>
      </c>
      <c r="D49" s="41"/>
      <c r="E49" s="14" t="s">
        <v>48</v>
      </c>
      <c r="F49" s="148"/>
      <c r="G49" s="30">
        <v>0.05</v>
      </c>
      <c r="H49" s="24"/>
      <c r="I49" s="380"/>
      <c r="J49" s="380"/>
      <c r="K49" s="380"/>
      <c r="M49" s="25"/>
      <c r="O49" s="421"/>
    </row>
    <row r="50" spans="2:18" ht="15.5" thickBot="1" x14ac:dyDescent="0.9">
      <c r="C50" s="13"/>
      <c r="E50" s="23"/>
      <c r="G50"/>
      <c r="H50" s="24"/>
      <c r="I50" s="380"/>
      <c r="J50" s="380"/>
      <c r="K50" s="380"/>
      <c r="M50" s="25"/>
      <c r="O50" s="381"/>
    </row>
    <row r="51" spans="2:18" ht="45" thickBot="1" x14ac:dyDescent="0.9">
      <c r="C51" s="138" t="s">
        <v>49</v>
      </c>
      <c r="D51" s="41"/>
      <c r="E51" s="14"/>
      <c r="G51" s="382" t="s">
        <v>161</v>
      </c>
      <c r="I51" s="382" t="s">
        <v>258</v>
      </c>
      <c r="J51" s="383"/>
      <c r="K51" s="166" t="s">
        <v>110</v>
      </c>
      <c r="M51" s="25"/>
      <c r="O51" s="381"/>
    </row>
    <row r="52" spans="2:18" x14ac:dyDescent="0.75">
      <c r="C52" s="149" t="s">
        <v>50</v>
      </c>
      <c r="D52" s="41"/>
      <c r="E52" s="14" t="s">
        <v>51</v>
      </c>
      <c r="G52" s="56">
        <v>9600000</v>
      </c>
      <c r="H52" s="24"/>
      <c r="I52" s="56">
        <v>11600000</v>
      </c>
      <c r="J52" s="109"/>
      <c r="K52" s="59">
        <v>1.1336919999999999</v>
      </c>
      <c r="M52" s="25"/>
      <c r="O52" s="422" t="s">
        <v>259</v>
      </c>
      <c r="R52" s="41"/>
    </row>
    <row r="53" spans="2:18" x14ac:dyDescent="0.75">
      <c r="C53" s="149" t="s">
        <v>52</v>
      </c>
      <c r="D53" s="41"/>
      <c r="E53" s="14" t="s">
        <v>51</v>
      </c>
      <c r="G53" s="56">
        <v>459100</v>
      </c>
      <c r="H53" s="24"/>
      <c r="I53" s="56">
        <v>554800</v>
      </c>
      <c r="J53" s="110"/>
      <c r="K53" s="55">
        <v>78.924260000000004</v>
      </c>
      <c r="M53" s="25"/>
      <c r="O53" s="422"/>
    </row>
    <row r="54" spans="2:18" x14ac:dyDescent="0.75">
      <c r="C54" s="149" t="s">
        <v>53</v>
      </c>
      <c r="D54" s="41"/>
      <c r="E54" s="14" t="s">
        <v>51</v>
      </c>
      <c r="G54" s="56">
        <v>125000</v>
      </c>
      <c r="H54" s="24"/>
      <c r="I54" s="56">
        <v>151100</v>
      </c>
      <c r="J54" s="110"/>
      <c r="K54" s="55"/>
      <c r="M54" s="25"/>
      <c r="O54" s="422"/>
    </row>
    <row r="55" spans="2:18" x14ac:dyDescent="0.75">
      <c r="C55" s="149" t="s">
        <v>54</v>
      </c>
      <c r="D55" s="41"/>
      <c r="E55" s="14" t="s">
        <v>51</v>
      </c>
      <c r="G55" s="56">
        <v>63900</v>
      </c>
      <c r="H55" s="24"/>
      <c r="I55" s="56">
        <v>77200</v>
      </c>
      <c r="J55" s="110"/>
      <c r="K55" s="55"/>
      <c r="M55" s="25"/>
      <c r="O55" s="422"/>
    </row>
    <row r="56" spans="2:18" ht="29.5" x14ac:dyDescent="0.75">
      <c r="C56" s="384" t="s">
        <v>55</v>
      </c>
      <c r="D56" s="41"/>
      <c r="E56" s="14" t="s">
        <v>51</v>
      </c>
      <c r="G56" s="56">
        <v>174000</v>
      </c>
      <c r="H56" s="24"/>
      <c r="I56" s="56">
        <v>210300</v>
      </c>
      <c r="J56" s="110"/>
      <c r="K56" s="55"/>
      <c r="M56" s="25"/>
      <c r="O56" s="422"/>
    </row>
    <row r="57" spans="2:18" x14ac:dyDescent="0.75">
      <c r="C57" s="149" t="s">
        <v>102</v>
      </c>
      <c r="D57" s="41"/>
      <c r="E57" s="14" t="s">
        <v>51</v>
      </c>
      <c r="G57" s="56">
        <v>3200</v>
      </c>
      <c r="H57" s="24"/>
      <c r="I57" s="56">
        <v>4600</v>
      </c>
      <c r="J57" s="110"/>
      <c r="K57" s="55">
        <v>203.400385</v>
      </c>
      <c r="M57" s="25"/>
      <c r="O57" s="422"/>
    </row>
    <row r="58" spans="2:18" ht="15.5" thickBot="1" x14ac:dyDescent="0.9">
      <c r="C58" s="149" t="s">
        <v>56</v>
      </c>
      <c r="D58" s="41"/>
      <c r="E58" s="14" t="s">
        <v>57</v>
      </c>
      <c r="G58" s="57">
        <v>1.0699999999999999E-2</v>
      </c>
      <c r="H58" s="24"/>
      <c r="I58" s="58"/>
      <c r="J58" s="110"/>
      <c r="K58" s="55"/>
      <c r="M58" s="25"/>
      <c r="O58" s="422"/>
    </row>
    <row r="59" spans="2:18" ht="15.5" thickBot="1" x14ac:dyDescent="0.9">
      <c r="C59" s="155" t="s">
        <v>118</v>
      </c>
      <c r="D59" s="41"/>
      <c r="E59" s="14" t="s">
        <v>119</v>
      </c>
      <c r="G59" s="73">
        <f>AVERAGE(G53:G56)</f>
        <v>205500</v>
      </c>
      <c r="H59" s="24"/>
      <c r="I59" s="56">
        <v>302600</v>
      </c>
      <c r="J59" s="380"/>
      <c r="K59" s="380"/>
      <c r="M59" s="25"/>
      <c r="O59" s="385" t="s">
        <v>95</v>
      </c>
    </row>
    <row r="60" spans="2:18" ht="17.25" x14ac:dyDescent="0.75">
      <c r="B60" s="8"/>
      <c r="C60" s="9" t="s">
        <v>58</v>
      </c>
      <c r="D60" s="8"/>
      <c r="E60" s="22"/>
      <c r="F60" s="10"/>
      <c r="G60" s="8"/>
      <c r="H60" s="8"/>
      <c r="I60" s="8"/>
      <c r="J60" s="8"/>
      <c r="K60" s="8"/>
      <c r="L60" s="8"/>
      <c r="M60" s="8"/>
      <c r="N60" s="8"/>
      <c r="O60" s="8"/>
      <c r="P60" s="8"/>
    </row>
    <row r="61" spans="2:18" x14ac:dyDescent="0.75">
      <c r="E61" s="23"/>
    </row>
    <row r="62" spans="2:18" ht="44.25" x14ac:dyDescent="0.75">
      <c r="C62" s="138" t="s">
        <v>162</v>
      </c>
      <c r="D62" s="41"/>
      <c r="E62" s="148"/>
      <c r="F62" s="148"/>
      <c r="G62" s="14" t="s">
        <v>179</v>
      </c>
      <c r="H62" s="41"/>
      <c r="I62" s="41"/>
    </row>
    <row r="63" spans="2:18" x14ac:dyDescent="0.75">
      <c r="C63" s="149" t="s">
        <v>43</v>
      </c>
      <c r="D63" s="41"/>
      <c r="E63" s="14" t="s">
        <v>59</v>
      </c>
      <c r="F63" s="148"/>
      <c r="G63" s="35">
        <v>0.1191</v>
      </c>
      <c r="H63" s="41" t="s">
        <v>97</v>
      </c>
      <c r="I63" s="41"/>
      <c r="M63" s="25"/>
      <c r="O63" s="422" t="s">
        <v>139</v>
      </c>
    </row>
    <row r="64" spans="2:18" x14ac:dyDescent="0.75">
      <c r="C64" s="149" t="s">
        <v>45</v>
      </c>
      <c r="D64" s="41"/>
      <c r="E64" s="14" t="s">
        <v>59</v>
      </c>
      <c r="F64" s="148"/>
      <c r="G64" s="35">
        <v>1.7899999999999999E-2</v>
      </c>
      <c r="H64" s="41"/>
      <c r="I64" s="41"/>
      <c r="M64" s="25"/>
      <c r="O64" s="422"/>
    </row>
    <row r="65" spans="3:47" x14ac:dyDescent="0.75">
      <c r="C65" s="149" t="s">
        <v>46</v>
      </c>
      <c r="D65" s="41"/>
      <c r="E65" s="14" t="s">
        <v>59</v>
      </c>
      <c r="F65" s="148"/>
      <c r="G65" s="35">
        <v>1.1599999999999999E-2</v>
      </c>
      <c r="H65" s="41"/>
      <c r="I65" s="41"/>
      <c r="M65" s="25"/>
      <c r="O65" s="422"/>
    </row>
    <row r="66" spans="3:47" x14ac:dyDescent="0.75">
      <c r="C66" s="149"/>
      <c r="D66" s="41"/>
      <c r="E66" s="14"/>
      <c r="F66" s="148"/>
      <c r="G66" s="41"/>
      <c r="H66" s="41"/>
      <c r="I66" s="41"/>
      <c r="M66" s="25"/>
      <c r="O66" s="381"/>
    </row>
    <row r="67" spans="3:47" x14ac:dyDescent="0.75">
      <c r="C67" s="138" t="s">
        <v>60</v>
      </c>
      <c r="D67" s="41"/>
      <c r="E67" s="14"/>
      <c r="F67" s="148"/>
      <c r="G67" s="41"/>
      <c r="H67" s="41"/>
      <c r="I67" s="41"/>
    </row>
    <row r="68" spans="3:47" ht="14.9" customHeight="1" x14ac:dyDescent="0.75">
      <c r="C68" s="149" t="s">
        <v>43</v>
      </c>
      <c r="D68" s="41"/>
      <c r="E68" s="14" t="s">
        <v>59</v>
      </c>
      <c r="F68" s="148"/>
      <c r="G68" s="35">
        <v>3.0192999999999999</v>
      </c>
      <c r="H68" s="41"/>
      <c r="I68" s="159"/>
      <c r="M68" s="25"/>
      <c r="O68" s="422" t="s">
        <v>139</v>
      </c>
    </row>
    <row r="69" spans="3:47" x14ac:dyDescent="0.75">
      <c r="C69" s="149" t="s">
        <v>45</v>
      </c>
      <c r="D69" s="41"/>
      <c r="E69" s="14" t="s">
        <v>59</v>
      </c>
      <c r="F69" s="148"/>
      <c r="G69" s="35">
        <v>0.67469999999999997</v>
      </c>
      <c r="H69" s="41"/>
      <c r="I69" s="41"/>
      <c r="M69" s="25"/>
      <c r="O69" s="422"/>
    </row>
    <row r="70" spans="3:47" x14ac:dyDescent="0.75">
      <c r="C70" s="149" t="s">
        <v>46</v>
      </c>
      <c r="D70" s="41"/>
      <c r="E70" s="14" t="s">
        <v>59</v>
      </c>
      <c r="F70" s="148"/>
      <c r="G70" s="35">
        <v>0.46910000000000002</v>
      </c>
      <c r="H70" s="41"/>
      <c r="I70" s="41"/>
      <c r="M70" s="25"/>
      <c r="O70" s="422"/>
    </row>
    <row r="71" spans="3:47" x14ac:dyDescent="0.75">
      <c r="C71" s="131" t="s">
        <v>130</v>
      </c>
      <c r="D71" s="41"/>
      <c r="E71" s="14" t="s">
        <v>59</v>
      </c>
      <c r="F71" s="148"/>
      <c r="G71" s="35">
        <v>0.11</v>
      </c>
      <c r="H71" s="41"/>
      <c r="I71" s="41"/>
      <c r="M71" s="25"/>
      <c r="O71" s="381"/>
    </row>
    <row r="72" spans="3:47" x14ac:dyDescent="0.75">
      <c r="C72" s="138" t="s">
        <v>61</v>
      </c>
      <c r="D72" s="41"/>
      <c r="E72" s="14"/>
      <c r="F72" s="148"/>
      <c r="G72" s="41"/>
      <c r="H72" s="41"/>
      <c r="I72" s="41"/>
      <c r="M72" s="25"/>
    </row>
    <row r="73" spans="3:47" x14ac:dyDescent="0.75">
      <c r="C73" s="149" t="s">
        <v>43</v>
      </c>
      <c r="D73" s="41"/>
      <c r="E73" s="14" t="s">
        <v>59</v>
      </c>
      <c r="F73" s="148"/>
      <c r="G73" s="35">
        <v>229.8</v>
      </c>
      <c r="H73" s="41"/>
      <c r="I73" s="41"/>
      <c r="M73" s="25"/>
      <c r="O73" s="422" t="s">
        <v>139</v>
      </c>
    </row>
    <row r="74" spans="3:47" x14ac:dyDescent="0.75">
      <c r="C74" s="149" t="s">
        <v>45</v>
      </c>
      <c r="D74" s="41"/>
      <c r="E74" s="14" t="s">
        <v>59</v>
      </c>
      <c r="F74" s="148"/>
      <c r="G74" s="35">
        <v>28.96</v>
      </c>
      <c r="H74" s="41"/>
      <c r="I74" s="41"/>
      <c r="M74" s="25"/>
      <c r="O74" s="422"/>
    </row>
    <row r="75" spans="3:47" x14ac:dyDescent="0.75">
      <c r="C75" s="149" t="s">
        <v>46</v>
      </c>
      <c r="D75" s="41"/>
      <c r="E75" s="14" t="s">
        <v>59</v>
      </c>
      <c r="F75" s="148"/>
      <c r="G75" s="35">
        <v>17.48</v>
      </c>
      <c r="H75" s="41"/>
      <c r="I75" s="41"/>
      <c r="M75" s="25"/>
      <c r="O75" s="422"/>
    </row>
    <row r="76" spans="3:47" ht="15.5" thickBot="1" x14ac:dyDescent="0.9">
      <c r="C76" s="131" t="s">
        <v>113</v>
      </c>
      <c r="D76" s="41"/>
      <c r="E76" s="14" t="s">
        <v>59</v>
      </c>
      <c r="F76" s="148"/>
      <c r="G76" s="35">
        <f>(0.0055*1000000)/1000000</f>
        <v>5.4999999999999997E-3</v>
      </c>
      <c r="H76" s="41"/>
      <c r="I76" s="41"/>
    </row>
    <row r="77" spans="3:47" x14ac:dyDescent="0.75">
      <c r="C77" s="138" t="s">
        <v>62</v>
      </c>
      <c r="D77" s="41"/>
      <c r="E77" s="14"/>
      <c r="F77" s="148"/>
      <c r="G77" s="28" t="s">
        <v>166</v>
      </c>
      <c r="H77" s="28"/>
      <c r="I77" s="28" t="s">
        <v>170</v>
      </c>
      <c r="J77" s="25"/>
      <c r="P77" s="232" t="s">
        <v>205</v>
      </c>
      <c r="Q77" s="233">
        <v>2020</v>
      </c>
      <c r="R77" s="233">
        <v>2021</v>
      </c>
      <c r="S77" s="233">
        <v>2022</v>
      </c>
      <c r="T77" s="233">
        <v>2023</v>
      </c>
      <c r="U77" s="233">
        <v>2024</v>
      </c>
      <c r="V77" s="233">
        <v>2025</v>
      </c>
      <c r="W77" s="233">
        <v>2026</v>
      </c>
      <c r="X77" s="233">
        <v>2027</v>
      </c>
      <c r="Y77" s="233">
        <v>2028</v>
      </c>
      <c r="Z77" s="233">
        <v>2029</v>
      </c>
      <c r="AA77" s="233">
        <v>2030</v>
      </c>
      <c r="AB77" s="233">
        <v>2031</v>
      </c>
      <c r="AC77" s="233">
        <v>2032</v>
      </c>
      <c r="AD77" s="233">
        <v>2033</v>
      </c>
      <c r="AE77" s="233">
        <v>2034</v>
      </c>
      <c r="AF77" s="233">
        <v>2035</v>
      </c>
      <c r="AG77" s="233">
        <v>2036</v>
      </c>
      <c r="AH77" s="233">
        <v>2037</v>
      </c>
      <c r="AI77" s="233">
        <v>2038</v>
      </c>
      <c r="AJ77" s="233">
        <v>2039</v>
      </c>
      <c r="AK77" s="233">
        <v>2040</v>
      </c>
      <c r="AL77" s="233">
        <v>2041</v>
      </c>
      <c r="AM77" s="233">
        <v>2042</v>
      </c>
      <c r="AN77" s="233">
        <v>2043</v>
      </c>
      <c r="AO77" s="233">
        <v>2044</v>
      </c>
      <c r="AP77" s="233">
        <v>2045</v>
      </c>
      <c r="AQ77" s="233">
        <v>2046</v>
      </c>
      <c r="AR77" s="233">
        <v>2047</v>
      </c>
      <c r="AS77" s="233">
        <v>2048</v>
      </c>
      <c r="AT77" s="233">
        <v>2049</v>
      </c>
      <c r="AU77" s="234">
        <v>2050</v>
      </c>
    </row>
    <row r="78" spans="3:47" ht="29.5" x14ac:dyDescent="0.75">
      <c r="C78" s="149" t="s">
        <v>63</v>
      </c>
      <c r="D78" s="41"/>
      <c r="E78" s="14" t="s">
        <v>99</v>
      </c>
      <c r="F78" s="148"/>
      <c r="G78" s="34" t="s">
        <v>209</v>
      </c>
      <c r="H78" s="41"/>
      <c r="I78" s="29"/>
      <c r="J78" s="156"/>
      <c r="M78" s="25"/>
      <c r="O78" s="386" t="s">
        <v>173</v>
      </c>
      <c r="P78" s="235" t="s">
        <v>206</v>
      </c>
      <c r="Q78" s="380">
        <v>15700</v>
      </c>
      <c r="R78" s="387">
        <v>15600</v>
      </c>
      <c r="S78" s="387">
        <v>15800</v>
      </c>
      <c r="T78" s="387">
        <v>16000</v>
      </c>
      <c r="U78" s="387">
        <v>16200</v>
      </c>
      <c r="V78" s="387">
        <v>16500</v>
      </c>
      <c r="W78" s="387">
        <v>16800</v>
      </c>
      <c r="X78" s="387">
        <v>17100</v>
      </c>
      <c r="Y78" s="387">
        <v>17400</v>
      </c>
      <c r="Z78" s="387">
        <v>17700</v>
      </c>
      <c r="AA78" s="387">
        <v>18100</v>
      </c>
      <c r="AB78" s="387">
        <v>18100</v>
      </c>
      <c r="AC78" s="387">
        <v>18100</v>
      </c>
      <c r="AD78" s="387">
        <v>18100</v>
      </c>
      <c r="AE78" s="387">
        <v>18100</v>
      </c>
      <c r="AF78" s="387">
        <v>18100</v>
      </c>
      <c r="AG78" s="387">
        <v>18100</v>
      </c>
      <c r="AH78" s="387">
        <v>18100</v>
      </c>
      <c r="AI78" s="387">
        <v>18100</v>
      </c>
      <c r="AJ78" s="387">
        <v>18100</v>
      </c>
      <c r="AK78" s="387">
        <v>18100</v>
      </c>
      <c r="AL78" s="387">
        <v>18100</v>
      </c>
      <c r="AM78" s="387">
        <v>18100</v>
      </c>
      <c r="AN78" s="387">
        <v>18100</v>
      </c>
      <c r="AO78" s="387">
        <v>18100</v>
      </c>
      <c r="AP78" s="387">
        <v>18100</v>
      </c>
      <c r="AQ78" s="387">
        <v>18100</v>
      </c>
      <c r="AR78" s="387">
        <v>18100</v>
      </c>
      <c r="AS78" s="387">
        <v>18100</v>
      </c>
      <c r="AT78" s="387">
        <v>18100</v>
      </c>
      <c r="AU78" s="388">
        <v>18100</v>
      </c>
    </row>
    <row r="79" spans="3:47" x14ac:dyDescent="0.75">
      <c r="C79" s="149" t="s">
        <v>64</v>
      </c>
      <c r="D79" s="41"/>
      <c r="E79" s="14" t="s">
        <v>99</v>
      </c>
      <c r="F79" s="148"/>
      <c r="G79" s="34">
        <v>2100</v>
      </c>
      <c r="H79" s="41"/>
      <c r="I79" s="29"/>
      <c r="J79" s="156"/>
      <c r="M79" s="25"/>
      <c r="O79" s="389" t="s">
        <v>174</v>
      </c>
      <c r="P79" s="235" t="s">
        <v>207</v>
      </c>
      <c r="Q79" s="380">
        <v>40400</v>
      </c>
      <c r="R79" s="387">
        <v>41500</v>
      </c>
      <c r="S79" s="387">
        <v>42300</v>
      </c>
      <c r="T79" s="387">
        <v>43100</v>
      </c>
      <c r="U79" s="387">
        <v>44000</v>
      </c>
      <c r="V79" s="387">
        <v>44900</v>
      </c>
      <c r="W79" s="387">
        <v>45700</v>
      </c>
      <c r="X79" s="387">
        <v>46500</v>
      </c>
      <c r="Y79" s="387">
        <v>47300</v>
      </c>
      <c r="Z79" s="387">
        <v>48200</v>
      </c>
      <c r="AA79" s="387">
        <v>49100</v>
      </c>
      <c r="AB79" s="387">
        <v>49100</v>
      </c>
      <c r="AC79" s="387">
        <v>49100</v>
      </c>
      <c r="AD79" s="387">
        <v>49100</v>
      </c>
      <c r="AE79" s="387">
        <v>49100</v>
      </c>
      <c r="AF79" s="387">
        <v>49100</v>
      </c>
      <c r="AG79" s="387">
        <v>49100</v>
      </c>
      <c r="AH79" s="387">
        <v>49100</v>
      </c>
      <c r="AI79" s="387">
        <v>49100</v>
      </c>
      <c r="AJ79" s="387">
        <v>49100</v>
      </c>
      <c r="AK79" s="387">
        <v>49100</v>
      </c>
      <c r="AL79" s="387">
        <v>49100</v>
      </c>
      <c r="AM79" s="387">
        <v>49100</v>
      </c>
      <c r="AN79" s="387">
        <v>49100</v>
      </c>
      <c r="AO79" s="387">
        <v>49100</v>
      </c>
      <c r="AP79" s="387">
        <v>49100</v>
      </c>
      <c r="AQ79" s="387">
        <v>49100</v>
      </c>
      <c r="AR79" s="387">
        <v>49100</v>
      </c>
      <c r="AS79" s="387">
        <v>49100</v>
      </c>
      <c r="AT79" s="387">
        <v>49100</v>
      </c>
      <c r="AU79" s="388">
        <v>49100</v>
      </c>
    </row>
    <row r="80" spans="3:47" x14ac:dyDescent="0.75">
      <c r="C80" s="149" t="s">
        <v>65</v>
      </c>
      <c r="D80" s="41"/>
      <c r="E80" s="14" t="s">
        <v>99</v>
      </c>
      <c r="F80" s="148"/>
      <c r="G80" s="34">
        <v>387300</v>
      </c>
      <c r="H80" s="41"/>
      <c r="I80" s="29"/>
      <c r="J80" s="156"/>
      <c r="M80" s="25"/>
      <c r="O80" s="390" t="s">
        <v>175</v>
      </c>
      <c r="P80" s="235" t="s">
        <v>208</v>
      </c>
      <c r="Q80" s="387">
        <v>729300</v>
      </c>
      <c r="R80" s="387">
        <v>748600</v>
      </c>
      <c r="S80" s="387">
        <v>761600</v>
      </c>
      <c r="T80" s="387">
        <v>774700</v>
      </c>
      <c r="U80" s="387">
        <v>788100</v>
      </c>
      <c r="V80" s="387">
        <v>801700</v>
      </c>
      <c r="W80" s="387">
        <v>814500</v>
      </c>
      <c r="X80" s="387">
        <v>827400</v>
      </c>
      <c r="Y80" s="387">
        <v>840600</v>
      </c>
      <c r="Z80" s="387">
        <v>854000</v>
      </c>
      <c r="AA80" s="387">
        <v>867600</v>
      </c>
      <c r="AB80" s="387">
        <v>867600</v>
      </c>
      <c r="AC80" s="387">
        <v>867600</v>
      </c>
      <c r="AD80" s="387">
        <v>867600</v>
      </c>
      <c r="AE80" s="387">
        <v>867600</v>
      </c>
      <c r="AF80" s="387">
        <v>867600</v>
      </c>
      <c r="AG80" s="387">
        <v>867600</v>
      </c>
      <c r="AH80" s="387">
        <v>867600</v>
      </c>
      <c r="AI80" s="387">
        <v>867600</v>
      </c>
      <c r="AJ80" s="387">
        <v>867600</v>
      </c>
      <c r="AK80" s="387">
        <v>867600</v>
      </c>
      <c r="AL80" s="387">
        <v>867600</v>
      </c>
      <c r="AM80" s="387">
        <v>867600</v>
      </c>
      <c r="AN80" s="387">
        <v>867600</v>
      </c>
      <c r="AO80" s="387">
        <v>867600</v>
      </c>
      <c r="AP80" s="387">
        <v>867600</v>
      </c>
      <c r="AQ80" s="387">
        <v>867600</v>
      </c>
      <c r="AR80" s="387">
        <v>867600</v>
      </c>
      <c r="AS80" s="387">
        <v>867600</v>
      </c>
      <c r="AT80" s="387">
        <v>867600</v>
      </c>
      <c r="AU80" s="237">
        <v>867600</v>
      </c>
    </row>
    <row r="81" spans="2:47" ht="15.5" thickBot="1" x14ac:dyDescent="0.9">
      <c r="C81" s="149" t="s">
        <v>66</v>
      </c>
      <c r="D81" s="41"/>
      <c r="E81" s="14" t="s">
        <v>99</v>
      </c>
      <c r="F81" s="148"/>
      <c r="G81" s="34">
        <v>50100</v>
      </c>
      <c r="H81" s="41"/>
      <c r="I81" s="29"/>
      <c r="J81" s="156"/>
      <c r="M81" s="25"/>
      <c r="O81" s="381"/>
      <c r="P81" s="236" t="s">
        <v>157</v>
      </c>
      <c r="Q81" s="238">
        <v>50</v>
      </c>
      <c r="R81" s="238">
        <v>52</v>
      </c>
      <c r="S81" s="238">
        <v>53</v>
      </c>
      <c r="T81" s="238">
        <v>54</v>
      </c>
      <c r="U81" s="238">
        <v>55</v>
      </c>
      <c r="V81" s="238">
        <v>56</v>
      </c>
      <c r="W81" s="238">
        <v>57</v>
      </c>
      <c r="X81" s="238">
        <v>58</v>
      </c>
      <c r="Y81" s="238">
        <v>60</v>
      </c>
      <c r="Z81" s="238">
        <v>61</v>
      </c>
      <c r="AA81" s="238">
        <v>62</v>
      </c>
      <c r="AB81" s="238">
        <v>63</v>
      </c>
      <c r="AC81" s="238">
        <v>64</v>
      </c>
      <c r="AD81" s="238">
        <v>65</v>
      </c>
      <c r="AE81" s="238">
        <v>66</v>
      </c>
      <c r="AF81" s="238">
        <v>67</v>
      </c>
      <c r="AG81" s="238">
        <v>69</v>
      </c>
      <c r="AH81" s="238">
        <v>70</v>
      </c>
      <c r="AI81" s="238">
        <v>71</v>
      </c>
      <c r="AJ81" s="238">
        <v>72</v>
      </c>
      <c r="AK81" s="238">
        <v>73</v>
      </c>
      <c r="AL81" s="238">
        <v>74</v>
      </c>
      <c r="AM81" s="238">
        <v>75</v>
      </c>
      <c r="AN81" s="238">
        <v>77</v>
      </c>
      <c r="AO81" s="238">
        <v>78</v>
      </c>
      <c r="AP81" s="238">
        <v>79</v>
      </c>
      <c r="AQ81" s="238">
        <v>80</v>
      </c>
      <c r="AR81" s="238">
        <v>81</v>
      </c>
      <c r="AS81" s="238">
        <v>82</v>
      </c>
      <c r="AT81" s="238">
        <v>83</v>
      </c>
      <c r="AU81" s="239">
        <v>85</v>
      </c>
    </row>
    <row r="82" spans="2:47" x14ac:dyDescent="0.75">
      <c r="C82" s="149" t="s">
        <v>67</v>
      </c>
      <c r="D82" s="41"/>
      <c r="E82" s="14" t="s">
        <v>99</v>
      </c>
      <c r="F82" s="148"/>
      <c r="G82" s="34">
        <v>1</v>
      </c>
      <c r="H82" s="41"/>
      <c r="I82" s="29"/>
      <c r="J82" s="156"/>
      <c r="M82" s="25"/>
      <c r="O82" s="240" t="s">
        <v>210</v>
      </c>
    </row>
    <row r="83" spans="2:47" ht="30.25" thickBot="1" x14ac:dyDescent="0.9">
      <c r="C83" s="46" t="s">
        <v>68</v>
      </c>
      <c r="D83" s="43"/>
      <c r="E83" s="157" t="s">
        <v>27</v>
      </c>
      <c r="F83" s="376"/>
      <c r="G83" s="158">
        <v>0.03</v>
      </c>
      <c r="H83" s="43"/>
      <c r="I83" s="391"/>
      <c r="J83" s="164"/>
      <c r="M83" s="25"/>
      <c r="O83" s="241" t="s">
        <v>260</v>
      </c>
    </row>
    <row r="84" spans="2:47" x14ac:dyDescent="0.75">
      <c r="E84" s="23"/>
      <c r="G84" s="38"/>
      <c r="M84" s="25"/>
      <c r="O84" s="3" t="s">
        <v>261</v>
      </c>
    </row>
    <row r="85" spans="2:47" x14ac:dyDescent="0.75">
      <c r="E85" s="23"/>
      <c r="G85" s="38"/>
      <c r="M85" s="25"/>
      <c r="O85" s="3" t="s">
        <v>262</v>
      </c>
    </row>
    <row r="86" spans="2:47" s="7" customFormat="1" ht="17.25" x14ac:dyDescent="0.75">
      <c r="B86" s="8"/>
      <c r="C86" s="9" t="s">
        <v>69</v>
      </c>
      <c r="D86" s="8"/>
      <c r="E86" s="22"/>
      <c r="F86" s="10"/>
      <c r="G86" s="8"/>
      <c r="H86" s="8"/>
      <c r="I86" s="8"/>
      <c r="J86" s="8"/>
      <c r="K86" s="8"/>
      <c r="L86" s="8"/>
      <c r="M86" s="8"/>
      <c r="N86" s="8"/>
      <c r="O86" s="8"/>
      <c r="P86" s="8"/>
    </row>
    <row r="87" spans="2:47" x14ac:dyDescent="0.75">
      <c r="E87" s="23"/>
      <c r="G87" s="38"/>
      <c r="M87" s="25"/>
    </row>
    <row r="88" spans="2:47" x14ac:dyDescent="0.75">
      <c r="C88" s="138" t="s">
        <v>70</v>
      </c>
      <c r="D88" s="41"/>
      <c r="E88" s="14"/>
      <c r="F88" s="148"/>
      <c r="G88" s="162" t="s">
        <v>163</v>
      </c>
      <c r="H88" s="28"/>
      <c r="I88" s="28" t="s">
        <v>263</v>
      </c>
      <c r="J88" s="25"/>
      <c r="M88" s="25"/>
    </row>
    <row r="89" spans="2:47" x14ac:dyDescent="0.75">
      <c r="C89" s="149" t="s">
        <v>71</v>
      </c>
      <c r="D89" s="41"/>
      <c r="E89" s="14" t="s">
        <v>72</v>
      </c>
      <c r="F89" s="148"/>
      <c r="G89" s="51">
        <v>0.12010863124274099</v>
      </c>
      <c r="H89" s="41"/>
      <c r="I89" s="51" t="s">
        <v>154</v>
      </c>
      <c r="J89" s="160"/>
      <c r="K89" s="392"/>
      <c r="M89" s="25"/>
      <c r="O89" s="419" t="s">
        <v>138</v>
      </c>
    </row>
    <row r="90" spans="2:47" x14ac:dyDescent="0.75">
      <c r="C90" s="149" t="s">
        <v>73</v>
      </c>
      <c r="D90" s="41"/>
      <c r="E90" s="14" t="s">
        <v>72</v>
      </c>
      <c r="F90" s="148"/>
      <c r="G90" s="51">
        <v>1.7007698606271777E-2</v>
      </c>
      <c r="H90" s="41"/>
      <c r="I90" s="51" t="s">
        <v>154</v>
      </c>
      <c r="J90" s="160"/>
      <c r="K90" s="392"/>
      <c r="M90" s="25"/>
      <c r="O90" s="420"/>
    </row>
    <row r="91" spans="2:47" x14ac:dyDescent="0.75">
      <c r="C91" s="149" t="s">
        <v>74</v>
      </c>
      <c r="D91" s="41"/>
      <c r="E91" s="14" t="s">
        <v>72</v>
      </c>
      <c r="F91" s="148"/>
      <c r="G91" s="51">
        <v>9.2289837398373976E-3</v>
      </c>
      <c r="H91" s="41"/>
      <c r="I91" s="51" t="s">
        <v>154</v>
      </c>
      <c r="J91" s="160"/>
      <c r="K91" s="392"/>
      <c r="M91" s="25"/>
      <c r="O91" s="421"/>
    </row>
    <row r="92" spans="2:47" x14ac:dyDescent="0.75">
      <c r="C92" s="138" t="s">
        <v>103</v>
      </c>
      <c r="D92" s="41"/>
      <c r="E92" s="14"/>
      <c r="F92" s="148"/>
      <c r="G92" s="52"/>
      <c r="H92" s="41"/>
      <c r="I92" s="52"/>
      <c r="J92" s="161"/>
      <c r="K92" s="40"/>
      <c r="M92" s="25"/>
    </row>
    <row r="93" spans="2:47" ht="14.9" customHeight="1" x14ac:dyDescent="0.75">
      <c r="C93" s="149" t="s">
        <v>71</v>
      </c>
      <c r="D93" s="41"/>
      <c r="E93" s="14" t="s">
        <v>72</v>
      </c>
      <c r="F93" s="148"/>
      <c r="G93" s="39">
        <v>0.32640000000000002</v>
      </c>
      <c r="H93" s="41"/>
      <c r="I93" s="29">
        <v>0.31</v>
      </c>
      <c r="J93" s="156"/>
      <c r="K93" s="392"/>
      <c r="M93" s="25"/>
      <c r="O93" s="419" t="s">
        <v>264</v>
      </c>
    </row>
    <row r="94" spans="2:47" x14ac:dyDescent="0.75">
      <c r="C94" s="149" t="s">
        <v>73</v>
      </c>
      <c r="D94" s="41"/>
      <c r="E94" s="14" t="s">
        <v>72</v>
      </c>
      <c r="F94" s="148"/>
      <c r="G94" s="51">
        <v>2.3599829849012776E-2</v>
      </c>
      <c r="H94" s="41"/>
      <c r="I94" s="51" t="s">
        <v>154</v>
      </c>
      <c r="J94" s="160"/>
      <c r="K94" s="392"/>
      <c r="M94" s="25"/>
      <c r="O94" s="420"/>
    </row>
    <row r="95" spans="2:47" x14ac:dyDescent="0.75">
      <c r="C95" s="149" t="s">
        <v>74</v>
      </c>
      <c r="D95" s="41"/>
      <c r="E95" s="14" t="s">
        <v>72</v>
      </c>
      <c r="F95" s="148"/>
      <c r="G95" s="39">
        <v>1.6E-2</v>
      </c>
      <c r="H95" s="41"/>
      <c r="I95" s="29">
        <v>3.9300000000000002E-2</v>
      </c>
      <c r="J95" s="156"/>
      <c r="K95" s="392"/>
      <c r="M95" s="25"/>
      <c r="O95" s="421"/>
    </row>
    <row r="96" spans="2:47" x14ac:dyDescent="0.75">
      <c r="C96" s="41" t="s">
        <v>104</v>
      </c>
      <c r="D96" s="41"/>
      <c r="E96" s="14" t="s">
        <v>72</v>
      </c>
      <c r="F96" s="148"/>
      <c r="G96" s="163">
        <v>0.18099999999999999</v>
      </c>
      <c r="H96" s="41"/>
      <c r="I96" s="29">
        <f>G96*$N$20/$N$8</f>
        <v>0.26984326612903226</v>
      </c>
      <c r="J96" s="156"/>
      <c r="K96" s="392"/>
      <c r="M96" s="25"/>
    </row>
    <row r="97" spans="2:16" x14ac:dyDescent="0.75">
      <c r="E97" s="23"/>
    </row>
    <row r="98" spans="2:16" s="7" customFormat="1" ht="17.25" x14ac:dyDescent="0.75">
      <c r="B98" s="8"/>
      <c r="C98" s="9" t="s">
        <v>75</v>
      </c>
      <c r="D98" s="8"/>
      <c r="E98" s="22"/>
      <c r="F98" s="10"/>
      <c r="G98" s="8"/>
      <c r="H98" s="8"/>
      <c r="I98" s="8"/>
      <c r="J98" s="8"/>
      <c r="K98" s="8"/>
      <c r="L98" s="8"/>
      <c r="M98" s="8"/>
      <c r="N98" s="8"/>
      <c r="O98" s="8"/>
      <c r="P98" s="8"/>
    </row>
    <row r="99" spans="2:16" s="7" customFormat="1" ht="17.25" x14ac:dyDescent="0.75">
      <c r="B99" s="393"/>
      <c r="C99" s="394"/>
      <c r="D99" s="393"/>
      <c r="E99" s="395"/>
      <c r="F99" s="396"/>
      <c r="G99" s="393"/>
      <c r="H99" s="393"/>
      <c r="I99" s="393"/>
      <c r="J99" s="393"/>
      <c r="K99" s="393"/>
      <c r="L99" s="393"/>
      <c r="M99" s="393"/>
      <c r="N99" s="393"/>
      <c r="O99" s="393"/>
      <c r="P99" s="393"/>
    </row>
    <row r="100" spans="2:16" x14ac:dyDescent="0.75">
      <c r="C100" s="131" t="s">
        <v>76</v>
      </c>
      <c r="D100" s="41"/>
      <c r="E100" s="14"/>
      <c r="F100" s="148"/>
      <c r="G100" s="41"/>
      <c r="H100" s="41"/>
      <c r="I100" s="41"/>
      <c r="J100" s="41"/>
      <c r="K100" s="41"/>
    </row>
    <row r="101" spans="2:16" x14ac:dyDescent="0.75">
      <c r="C101" s="149" t="s">
        <v>77</v>
      </c>
      <c r="D101" s="41"/>
      <c r="E101" s="14" t="s">
        <v>78</v>
      </c>
      <c r="F101" s="148"/>
      <c r="G101" s="30">
        <v>100</v>
      </c>
      <c r="H101" s="154"/>
      <c r="I101" s="154"/>
      <c r="J101" s="154"/>
      <c r="K101" s="154"/>
      <c r="O101" s="41" t="s">
        <v>79</v>
      </c>
    </row>
    <row r="102" spans="2:16" ht="29.5" x14ac:dyDescent="0.75">
      <c r="C102" s="149" t="s">
        <v>80</v>
      </c>
      <c r="D102" s="41"/>
      <c r="E102" s="14" t="s">
        <v>81</v>
      </c>
      <c r="F102" s="148"/>
      <c r="G102" s="30">
        <v>110</v>
      </c>
      <c r="H102" s="154"/>
      <c r="I102" s="15">
        <v>100</v>
      </c>
      <c r="J102" s="111"/>
      <c r="K102" s="15">
        <v>125</v>
      </c>
      <c r="O102" s="37" t="s">
        <v>82</v>
      </c>
    </row>
    <row r="103" spans="2:16" x14ac:dyDescent="0.75">
      <c r="C103" s="149" t="s">
        <v>83</v>
      </c>
      <c r="D103" s="41"/>
      <c r="E103" s="14" t="s">
        <v>84</v>
      </c>
      <c r="F103" s="148"/>
      <c r="G103" s="15">
        <v>7000</v>
      </c>
      <c r="H103" s="41"/>
      <c r="I103" s="397"/>
      <c r="J103" s="111"/>
      <c r="K103" s="397"/>
      <c r="O103" s="37" t="s">
        <v>85</v>
      </c>
    </row>
    <row r="104" spans="2:16" x14ac:dyDescent="0.75">
      <c r="C104" s="41"/>
      <c r="D104" s="41"/>
      <c r="E104" s="14"/>
      <c r="F104" s="148"/>
      <c r="G104" s="41"/>
      <c r="H104" s="41"/>
      <c r="I104" s="41"/>
      <c r="J104" s="164"/>
      <c r="K104" s="41"/>
    </row>
    <row r="105" spans="2:16" x14ac:dyDescent="0.75">
      <c r="C105" s="131" t="s">
        <v>86</v>
      </c>
      <c r="D105" s="41"/>
      <c r="E105" s="14"/>
      <c r="F105" s="148"/>
      <c r="G105" s="41"/>
      <c r="H105" s="41"/>
      <c r="I105" s="41"/>
      <c r="J105" s="164"/>
      <c r="K105" s="41"/>
    </row>
    <row r="106" spans="2:16" ht="44.25" x14ac:dyDescent="0.75">
      <c r="C106" s="149" t="s">
        <v>87</v>
      </c>
      <c r="D106" s="41"/>
      <c r="E106" s="14" t="s">
        <v>88</v>
      </c>
      <c r="F106" s="41"/>
      <c r="G106" s="42">
        <v>22.679645471781985</v>
      </c>
      <c r="H106" s="154"/>
      <c r="I106" s="42">
        <v>17</v>
      </c>
      <c r="J106" s="112"/>
      <c r="K106" s="42">
        <v>25</v>
      </c>
      <c r="O106" s="37" t="s">
        <v>89</v>
      </c>
    </row>
    <row r="107" spans="2:16" x14ac:dyDescent="0.75">
      <c r="C107" s="41"/>
      <c r="D107" s="41"/>
      <c r="E107" s="14"/>
      <c r="F107" s="148"/>
      <c r="G107" s="41"/>
      <c r="H107" s="41"/>
      <c r="I107" s="41"/>
      <c r="J107" s="41"/>
      <c r="K107" s="41"/>
    </row>
    <row r="108" spans="2:16" x14ac:dyDescent="0.75">
      <c r="C108" s="131" t="s">
        <v>192</v>
      </c>
      <c r="D108" s="41"/>
      <c r="E108" s="14" t="s">
        <v>193</v>
      </c>
      <c r="F108" s="148"/>
      <c r="G108" s="42">
        <v>1</v>
      </c>
      <c r="H108" s="41"/>
      <c r="I108" s="115"/>
      <c r="J108" s="115"/>
      <c r="K108" s="115"/>
      <c r="O108" s="41" t="s">
        <v>112</v>
      </c>
    </row>
    <row r="109" spans="2:16" x14ac:dyDescent="0.75">
      <c r="C109" s="41"/>
      <c r="D109" s="41"/>
      <c r="E109" s="148"/>
      <c r="F109" s="148"/>
      <c r="G109" s="41"/>
      <c r="H109" s="41"/>
      <c r="I109" s="41"/>
      <c r="J109" s="41"/>
      <c r="K109" s="41"/>
    </row>
    <row r="110" spans="2:16" ht="29.5" x14ac:dyDescent="0.75">
      <c r="C110" s="184" t="s">
        <v>176</v>
      </c>
      <c r="D110" s="185"/>
      <c r="E110" s="186" t="s">
        <v>111</v>
      </c>
      <c r="F110" s="187"/>
      <c r="G110" s="188">
        <f>5.2*1.7</f>
        <v>8.84</v>
      </c>
      <c r="H110" s="41"/>
      <c r="I110" s="41"/>
      <c r="J110" s="41"/>
      <c r="K110" s="41"/>
      <c r="N110" s="41">
        <v>2020</v>
      </c>
      <c r="O110" s="74" t="s">
        <v>178</v>
      </c>
    </row>
    <row r="111" spans="2:16" x14ac:dyDescent="0.75">
      <c r="N111" s="3">
        <v>2022</v>
      </c>
    </row>
    <row r="112" spans="2:16" s="53" customFormat="1" x14ac:dyDescent="0.75">
      <c r="C112" s="53" t="s">
        <v>105</v>
      </c>
      <c r="E112" s="54"/>
      <c r="F112" s="54"/>
    </row>
    <row r="113" spans="3:15" ht="15.5" thickBot="1" x14ac:dyDescent="0.9">
      <c r="C113" s="41"/>
      <c r="D113" s="41"/>
      <c r="E113" s="148"/>
      <c r="F113" s="148"/>
      <c r="G113" s="41" t="s">
        <v>258</v>
      </c>
    </row>
    <row r="114" spans="3:15" ht="30.25" thickBot="1" x14ac:dyDescent="0.9">
      <c r="C114" s="131" t="s">
        <v>109</v>
      </c>
      <c r="D114" s="41"/>
      <c r="E114" s="148" t="s">
        <v>108</v>
      </c>
      <c r="F114" s="148"/>
      <c r="G114" s="29">
        <v>110</v>
      </c>
      <c r="N114" s="41">
        <v>2022</v>
      </c>
      <c r="O114" s="193" t="s">
        <v>196</v>
      </c>
    </row>
    <row r="115" spans="3:15" x14ac:dyDescent="0.75">
      <c r="C115" s="131" t="s">
        <v>106</v>
      </c>
      <c r="D115" s="41"/>
      <c r="E115" s="148">
        <v>30</v>
      </c>
      <c r="F115" s="148"/>
      <c r="G115" s="41"/>
    </row>
    <row r="116" spans="3:15" x14ac:dyDescent="0.75">
      <c r="C116" s="131" t="s">
        <v>107</v>
      </c>
      <c r="D116" s="41"/>
      <c r="E116" s="148">
        <v>40</v>
      </c>
      <c r="F116" s="148"/>
      <c r="G116" s="41"/>
    </row>
    <row r="118" spans="3:15" x14ac:dyDescent="0.75">
      <c r="E118" s="174"/>
      <c r="F118" s="175"/>
      <c r="G118" s="181" t="s">
        <v>171</v>
      </c>
      <c r="H118" s="182"/>
      <c r="I118" s="183" t="s">
        <v>258</v>
      </c>
    </row>
    <row r="119" spans="3:15" ht="44.25" x14ac:dyDescent="0.75">
      <c r="E119" s="198" t="s">
        <v>189</v>
      </c>
      <c r="F119" s="177"/>
      <c r="G119" s="178">
        <v>29.5</v>
      </c>
      <c r="H119" s="178"/>
      <c r="I119" s="179">
        <v>32</v>
      </c>
      <c r="N119" s="41">
        <v>2022</v>
      </c>
      <c r="O119" s="37" t="s">
        <v>265</v>
      </c>
    </row>
    <row r="120" spans="3:15" x14ac:dyDescent="0.75">
      <c r="G120" s="178"/>
      <c r="H120" s="178"/>
      <c r="I120" s="179"/>
      <c r="O120" s="398"/>
    </row>
    <row r="121" spans="3:15" x14ac:dyDescent="0.75">
      <c r="G121" s="181" t="s">
        <v>171</v>
      </c>
      <c r="H121" s="180"/>
      <c r="I121" s="183" t="s">
        <v>258</v>
      </c>
    </row>
    <row r="122" spans="3:15" ht="44.25" x14ac:dyDescent="0.75">
      <c r="C122" s="199" t="s">
        <v>177</v>
      </c>
      <c r="D122" s="200"/>
      <c r="E122" s="201" t="s">
        <v>172</v>
      </c>
      <c r="F122" s="175"/>
      <c r="G122" s="191">
        <v>0.96</v>
      </c>
      <c r="H122" s="176"/>
      <c r="I122" s="192">
        <v>0.94</v>
      </c>
      <c r="N122" s="41">
        <v>2022</v>
      </c>
      <c r="O122" s="37" t="s">
        <v>266</v>
      </c>
    </row>
    <row r="123" spans="3:15" ht="18.5" x14ac:dyDescent="0.75">
      <c r="C123" s="202"/>
      <c r="D123" s="203"/>
      <c r="E123" s="204"/>
      <c r="F123" s="177"/>
      <c r="G123" s="189"/>
      <c r="H123" s="189"/>
      <c r="I123" s="190"/>
    </row>
    <row r="125" spans="3:15" ht="29.5" x14ac:dyDescent="0.75">
      <c r="C125" s="205" t="s">
        <v>180</v>
      </c>
      <c r="D125" s="180"/>
      <c r="E125" s="206" t="s">
        <v>181</v>
      </c>
      <c r="N125" s="3">
        <v>2018</v>
      </c>
      <c r="O125" s="37" t="s">
        <v>182</v>
      </c>
    </row>
  </sheetData>
  <mergeCells count="8">
    <mergeCell ref="O89:O91"/>
    <mergeCell ref="O93:O95"/>
    <mergeCell ref="O68:O70"/>
    <mergeCell ref="O24:O27"/>
    <mergeCell ref="O42:O49"/>
    <mergeCell ref="O52:O58"/>
    <mergeCell ref="O63:O65"/>
    <mergeCell ref="O73:O7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27"/>
  <sheetViews>
    <sheetView showGridLines="0" topLeftCell="A49" zoomScale="95" zoomScaleNormal="95" workbookViewId="0">
      <selection activeCell="R27" sqref="R27"/>
    </sheetView>
  </sheetViews>
  <sheetFormatPr defaultRowHeight="14.75" x14ac:dyDescent="0.75"/>
  <cols>
    <col min="1" max="1" width="27.26953125" customWidth="1"/>
    <col min="2" max="2" width="60.58984375" customWidth="1"/>
    <col min="3" max="3" width="42.36328125" customWidth="1"/>
    <col min="4" max="4" width="23.81640625" bestFit="1" customWidth="1"/>
    <col min="5" max="5" width="15.54296875" customWidth="1"/>
    <col min="6" max="6" width="11" customWidth="1"/>
    <col min="7" max="7" width="9.81640625" hidden="1" customWidth="1"/>
    <col min="8" max="8" width="14.31640625" customWidth="1"/>
    <col min="9" max="9" width="9.54296875" customWidth="1"/>
    <col min="10" max="10" width="36.26953125" customWidth="1"/>
    <col min="11" max="11" width="25.86328125" customWidth="1"/>
    <col min="12" max="12" width="20" customWidth="1"/>
    <col min="13" max="13" width="15.54296875" customWidth="1"/>
    <col min="14" max="14" width="17.453125" customWidth="1"/>
    <col min="15" max="42" width="16.6796875" customWidth="1"/>
  </cols>
  <sheetData>
    <row r="1" spans="1:14" s="215" customFormat="1" x14ac:dyDescent="0.75">
      <c r="A1" s="424" t="s">
        <v>248</v>
      </c>
      <c r="B1" s="424"/>
      <c r="C1" s="424"/>
      <c r="D1" s="242"/>
      <c r="E1"/>
      <c r="F1"/>
    </row>
    <row r="2" spans="1:14" ht="14.75" customHeight="1" x14ac:dyDescent="0.75">
      <c r="A2" s="337" t="s">
        <v>269</v>
      </c>
      <c r="B2" s="338" t="s">
        <v>248</v>
      </c>
      <c r="C2" s="338" t="s">
        <v>246</v>
      </c>
      <c r="D2" s="244"/>
      <c r="G2" s="88"/>
      <c r="H2" s="88"/>
      <c r="I2" s="88"/>
      <c r="J2" s="250"/>
      <c r="K2" s="88"/>
      <c r="L2" s="88"/>
      <c r="M2" s="88"/>
      <c r="N2" s="85"/>
    </row>
    <row r="3" spans="1:14" s="100" customFormat="1" ht="14.75" customHeight="1" x14ac:dyDescent="0.75">
      <c r="A3" s="113" t="s">
        <v>237</v>
      </c>
      <c r="B3" s="342">
        <v>35869</v>
      </c>
      <c r="C3" s="343">
        <v>169.8</v>
      </c>
      <c r="D3" s="262"/>
      <c r="G3" s="88"/>
      <c r="H3" s="88"/>
      <c r="I3" s="88"/>
      <c r="J3" s="327"/>
      <c r="K3" s="88"/>
      <c r="L3" s="88"/>
      <c r="M3" s="88"/>
      <c r="N3" s="85"/>
    </row>
    <row r="4" spans="1:14" s="100" customFormat="1" ht="14.75" customHeight="1" x14ac:dyDescent="0.75">
      <c r="A4" s="113" t="s">
        <v>238</v>
      </c>
      <c r="B4" s="342">
        <v>35869</v>
      </c>
      <c r="C4" s="343">
        <v>169.8</v>
      </c>
      <c r="D4" s="262"/>
      <c r="G4" s="88"/>
      <c r="H4" s="88"/>
      <c r="I4" s="88"/>
      <c r="J4" s="327"/>
      <c r="K4" s="88"/>
      <c r="L4" s="88"/>
      <c r="M4" s="88"/>
      <c r="N4" s="85"/>
    </row>
    <row r="5" spans="1:14" ht="14.9" customHeight="1" x14ac:dyDescent="0.75">
      <c r="A5" s="344" t="s">
        <v>232</v>
      </c>
      <c r="C5" s="113">
        <f>(C3*B3+C4*B4)/(B4+B3)</f>
        <v>169.8</v>
      </c>
      <c r="D5" s="136"/>
      <c r="G5" s="85"/>
      <c r="H5" s="85"/>
      <c r="I5" s="96"/>
      <c r="J5" s="85"/>
      <c r="K5" s="251"/>
      <c r="L5" s="85"/>
      <c r="M5" s="252"/>
      <c r="N5" s="85"/>
    </row>
    <row r="6" spans="1:14" ht="14.9" customHeight="1" x14ac:dyDescent="0.75">
      <c r="A6" s="337"/>
      <c r="B6" s="116"/>
      <c r="C6" s="116"/>
      <c r="D6" s="67"/>
      <c r="G6" s="85"/>
      <c r="H6" s="85"/>
      <c r="I6" s="96"/>
      <c r="J6" s="85"/>
      <c r="K6" s="251"/>
      <c r="L6" s="85"/>
      <c r="M6" s="252"/>
      <c r="N6" s="85"/>
    </row>
    <row r="7" spans="1:14" ht="14.9" customHeight="1" x14ac:dyDescent="0.75">
      <c r="A7" s="425" t="s">
        <v>270</v>
      </c>
      <c r="B7" s="425"/>
      <c r="C7" s="425"/>
      <c r="D7" s="63"/>
      <c r="G7" s="85"/>
      <c r="H7" s="85"/>
      <c r="I7" s="96"/>
      <c r="J7" s="85"/>
      <c r="K7" s="251"/>
      <c r="L7" s="85"/>
      <c r="M7" s="252"/>
      <c r="N7" s="85"/>
    </row>
    <row r="8" spans="1:14" ht="14.9" customHeight="1" thickBot="1" x14ac:dyDescent="0.9">
      <c r="A8" s="80"/>
      <c r="G8" s="85"/>
      <c r="H8" s="85"/>
      <c r="I8" s="96"/>
      <c r="J8" s="85"/>
      <c r="K8" s="251"/>
      <c r="L8" s="85"/>
      <c r="M8" s="252"/>
      <c r="N8" s="85"/>
    </row>
    <row r="9" spans="1:14" ht="14.9" customHeight="1" x14ac:dyDescent="0.75">
      <c r="A9" s="426" t="s">
        <v>250</v>
      </c>
      <c r="B9" s="427"/>
      <c r="C9" s="427"/>
      <c r="D9" s="427"/>
      <c r="E9" s="332"/>
      <c r="F9" s="85"/>
      <c r="G9" s="85"/>
      <c r="H9" s="85"/>
      <c r="I9" s="96"/>
      <c r="J9" s="85"/>
      <c r="K9" s="251"/>
      <c r="L9" s="85"/>
      <c r="M9" s="252"/>
      <c r="N9" s="85"/>
    </row>
    <row r="10" spans="1:14" ht="14.9" customHeight="1" x14ac:dyDescent="0.75">
      <c r="A10" s="243" t="s">
        <v>211</v>
      </c>
      <c r="B10" s="245"/>
      <c r="C10" s="246" t="s">
        <v>240</v>
      </c>
      <c r="D10" s="256"/>
      <c r="E10" s="333" t="s">
        <v>241</v>
      </c>
      <c r="F10" s="89"/>
      <c r="G10" s="85"/>
      <c r="H10" s="85"/>
      <c r="I10" s="96"/>
      <c r="J10" s="85"/>
      <c r="K10" s="251"/>
      <c r="L10" s="85"/>
      <c r="M10" s="252"/>
      <c r="N10" s="85"/>
    </row>
    <row r="11" spans="1:14" ht="14.9" customHeight="1" x14ac:dyDescent="0.75">
      <c r="A11" s="428" t="s">
        <v>224</v>
      </c>
      <c r="B11" s="428"/>
      <c r="C11" s="114">
        <f>B4+B3</f>
        <v>71738</v>
      </c>
      <c r="D11" s="257"/>
      <c r="E11" s="334">
        <f>C11</f>
        <v>71738</v>
      </c>
      <c r="F11" s="85"/>
      <c r="G11" s="85"/>
      <c r="H11" s="85"/>
      <c r="I11" s="96"/>
      <c r="J11" s="85"/>
      <c r="K11" s="251"/>
      <c r="L11" s="85"/>
      <c r="M11" s="252"/>
      <c r="N11" s="85"/>
    </row>
    <row r="12" spans="1:14" ht="14.9" customHeight="1" x14ac:dyDescent="0.75">
      <c r="A12" s="113" t="s">
        <v>239</v>
      </c>
      <c r="B12" s="115"/>
      <c r="C12" s="114">
        <v>22</v>
      </c>
      <c r="D12" s="257"/>
      <c r="E12" s="334"/>
      <c r="F12" s="85"/>
      <c r="G12" s="85"/>
      <c r="H12" s="85"/>
      <c r="I12" s="96"/>
      <c r="J12" s="85"/>
      <c r="K12" s="251"/>
      <c r="L12" s="85"/>
      <c r="M12" s="252"/>
      <c r="N12" s="85"/>
    </row>
    <row r="13" spans="1:14" ht="14.9" customHeight="1" thickBot="1" x14ac:dyDescent="0.9">
      <c r="A13" s="428"/>
      <c r="B13" s="428"/>
      <c r="C13" s="114"/>
      <c r="D13" s="257"/>
      <c r="E13" s="334"/>
      <c r="F13" s="85"/>
      <c r="G13" s="85"/>
      <c r="H13" s="85"/>
      <c r="I13" s="96"/>
      <c r="J13" s="85"/>
      <c r="K13" s="251"/>
      <c r="L13" s="85"/>
      <c r="M13" s="252"/>
      <c r="N13" s="85"/>
    </row>
    <row r="14" spans="1:14" ht="14.9" customHeight="1" x14ac:dyDescent="0.75">
      <c r="A14" s="429"/>
      <c r="B14" s="430"/>
      <c r="C14" s="430"/>
      <c r="D14" s="430"/>
      <c r="E14" s="335"/>
      <c r="F14" s="85"/>
      <c r="G14" s="85"/>
      <c r="H14" s="85"/>
      <c r="I14" s="96"/>
      <c r="J14" s="85"/>
      <c r="K14" s="251"/>
      <c r="L14" s="85"/>
      <c r="M14" s="252"/>
      <c r="N14" s="85"/>
    </row>
    <row r="15" spans="1:14" ht="14.9" customHeight="1" thickBot="1" x14ac:dyDescent="0.9">
      <c r="A15" s="431"/>
      <c r="B15" s="431"/>
      <c r="C15" s="431"/>
      <c r="D15" s="429"/>
      <c r="E15" s="336"/>
      <c r="F15" s="85"/>
      <c r="G15" s="85"/>
      <c r="H15" s="85"/>
      <c r="I15" s="85"/>
      <c r="J15" s="85"/>
      <c r="K15" s="85"/>
      <c r="L15" s="85"/>
      <c r="M15" s="252"/>
      <c r="N15" s="85"/>
    </row>
    <row r="16" spans="1:14" ht="14.9" customHeight="1" x14ac:dyDescent="0.75">
      <c r="G16" s="88"/>
      <c r="H16" s="88"/>
      <c r="I16" s="253"/>
      <c r="J16" s="88"/>
      <c r="K16" s="254"/>
      <c r="L16" s="88"/>
      <c r="M16" s="255"/>
      <c r="N16" s="85"/>
    </row>
    <row r="17" spans="1:43" ht="14.9" customHeight="1" x14ac:dyDescent="0.75">
      <c r="G17" s="85"/>
      <c r="H17" s="85"/>
      <c r="I17" s="85"/>
      <c r="J17" s="85"/>
      <c r="K17" s="85"/>
      <c r="L17" s="85"/>
      <c r="M17" s="85"/>
      <c r="N17" s="85"/>
    </row>
    <row r="18" spans="1:43" ht="14.9" customHeight="1" x14ac:dyDescent="0.75"/>
    <row r="19" spans="1:43" ht="14.9" customHeight="1" x14ac:dyDescent="0.75">
      <c r="B19" s="67"/>
      <c r="C19" s="67"/>
      <c r="D19" s="67"/>
    </row>
    <row r="20" spans="1:43" ht="14.9" customHeight="1" x14ac:dyDescent="0.75"/>
    <row r="21" spans="1:43" ht="14.9" customHeight="1" x14ac:dyDescent="0.75">
      <c r="A21" s="67"/>
      <c r="B21" s="247"/>
      <c r="C21" s="247"/>
      <c r="D21" s="67"/>
      <c r="E21" s="67"/>
      <c r="F21" s="67"/>
    </row>
    <row r="22" spans="1:43" ht="14.9" customHeight="1" x14ac:dyDescent="0.75">
      <c r="A22" s="67"/>
      <c r="B22" s="63"/>
      <c r="C22" s="63"/>
      <c r="D22" s="63"/>
      <c r="E22" s="63"/>
      <c r="F22" s="248"/>
    </row>
    <row r="23" spans="1:43" s="64" customFormat="1" x14ac:dyDescent="0.75">
      <c r="A23" s="263"/>
      <c r="B23" s="264"/>
      <c r="C23" s="264"/>
      <c r="D23" s="265"/>
      <c r="E23" s="266" t="s">
        <v>234</v>
      </c>
      <c r="F23" s="267"/>
      <c r="AE23" s="64" t="s">
        <v>249</v>
      </c>
    </row>
    <row r="24" spans="1:43" s="79" customFormat="1" x14ac:dyDescent="0.75">
      <c r="A24" s="89"/>
      <c r="B24" s="253" t="s">
        <v>199</v>
      </c>
      <c r="C24" s="96"/>
      <c r="D24" s="96"/>
      <c r="E24" s="96"/>
      <c r="F24" s="97"/>
      <c r="K24" s="262"/>
      <c r="M24" s="79">
        <v>2019</v>
      </c>
      <c r="O24" s="79">
        <v>0</v>
      </c>
      <c r="P24" s="79">
        <v>0</v>
      </c>
      <c r="Q24" s="79">
        <v>0</v>
      </c>
      <c r="R24" s="360">
        <v>71739.130434782608</v>
      </c>
      <c r="S24" s="360">
        <v>92739.130434782608</v>
      </c>
      <c r="T24" s="360">
        <v>114739.13043478261</v>
      </c>
      <c r="U24" s="360">
        <v>123739.13043478261</v>
      </c>
      <c r="V24" s="360">
        <v>133739.13043478259</v>
      </c>
      <c r="W24" s="360">
        <v>143739.13043478259</v>
      </c>
      <c r="X24" s="360">
        <v>153739.13043478259</v>
      </c>
      <c r="Y24" s="360">
        <v>158809.13043478262</v>
      </c>
      <c r="Z24" s="360">
        <v>163929.83043478263</v>
      </c>
      <c r="AA24" s="360">
        <v>169101.73743478264</v>
      </c>
      <c r="AB24" s="360">
        <v>174325.36350478267</v>
      </c>
      <c r="AC24" s="360">
        <v>179601.22583548268</v>
      </c>
      <c r="AD24" s="360">
        <v>184929.8467894897</v>
      </c>
      <c r="AE24" s="361">
        <v>190311.75395303679</v>
      </c>
      <c r="AF24" s="361">
        <f>AE24</f>
        <v>190311.75395303679</v>
      </c>
      <c r="AG24" s="361">
        <f t="shared" ref="AG24:AP24" si="0">AF24</f>
        <v>190311.75395303679</v>
      </c>
      <c r="AH24" s="361">
        <f t="shared" si="0"/>
        <v>190311.75395303679</v>
      </c>
      <c r="AI24" s="361">
        <f t="shared" si="0"/>
        <v>190311.75395303679</v>
      </c>
      <c r="AJ24" s="361">
        <f t="shared" si="0"/>
        <v>190311.75395303679</v>
      </c>
      <c r="AK24" s="361">
        <f t="shared" si="0"/>
        <v>190311.75395303679</v>
      </c>
      <c r="AL24" s="361">
        <f t="shared" si="0"/>
        <v>190311.75395303679</v>
      </c>
      <c r="AM24" s="361">
        <f t="shared" si="0"/>
        <v>190311.75395303679</v>
      </c>
      <c r="AN24" s="361">
        <f t="shared" si="0"/>
        <v>190311.75395303679</v>
      </c>
      <c r="AO24" s="361">
        <f t="shared" si="0"/>
        <v>190311.75395303679</v>
      </c>
      <c r="AP24" s="361">
        <f t="shared" si="0"/>
        <v>190311.75395303679</v>
      </c>
    </row>
    <row r="25" spans="1:43" s="79" customFormat="1" x14ac:dyDescent="0.75">
      <c r="A25" s="89"/>
      <c r="B25" s="89"/>
      <c r="C25" s="89"/>
      <c r="D25" s="89"/>
      <c r="E25" s="89"/>
      <c r="F25" s="89"/>
      <c r="G25" s="94"/>
      <c r="J25"/>
      <c r="K25" s="113"/>
      <c r="L25" s="115"/>
      <c r="M25" s="115">
        <v>1</v>
      </c>
      <c r="N25" s="115">
        <v>1</v>
      </c>
      <c r="O25" s="291">
        <v>1</v>
      </c>
      <c r="P25" s="115">
        <v>1.02</v>
      </c>
      <c r="Q25" s="115">
        <v>1.02</v>
      </c>
      <c r="R25" s="115">
        <v>1.02</v>
      </c>
      <c r="S25" s="115">
        <v>1.02</v>
      </c>
      <c r="T25" s="115">
        <v>1.02</v>
      </c>
      <c r="U25" s="115">
        <v>1.02</v>
      </c>
      <c r="V25" s="115">
        <v>1.02</v>
      </c>
      <c r="W25" s="115">
        <v>1.02</v>
      </c>
      <c r="X25" s="115">
        <v>1.02</v>
      </c>
      <c r="Y25" s="258">
        <v>1.02</v>
      </c>
      <c r="Z25" s="115">
        <v>1.01</v>
      </c>
      <c r="AA25" s="115">
        <v>1.01</v>
      </c>
      <c r="AB25" s="258">
        <v>1.01</v>
      </c>
      <c r="AC25" s="115">
        <v>1.01</v>
      </c>
      <c r="AD25" s="115">
        <v>1.01</v>
      </c>
      <c r="AE25" s="115">
        <v>1.01</v>
      </c>
      <c r="AF25" s="115">
        <v>1.01</v>
      </c>
      <c r="AG25" s="115">
        <v>1.01</v>
      </c>
      <c r="AH25" s="115">
        <v>1.01</v>
      </c>
      <c r="AI25" s="115">
        <v>1.01</v>
      </c>
      <c r="AJ25" s="115">
        <v>1</v>
      </c>
      <c r="AK25" s="115">
        <v>1</v>
      </c>
      <c r="AL25" s="115">
        <v>1</v>
      </c>
      <c r="AM25" s="115">
        <v>1</v>
      </c>
      <c r="AN25" s="115">
        <v>1</v>
      </c>
      <c r="AO25" s="115">
        <v>1</v>
      </c>
      <c r="AP25" s="115">
        <v>1</v>
      </c>
    </row>
    <row r="26" spans="1:43" ht="15.5" thickBot="1" x14ac:dyDescent="0.9">
      <c r="A26" s="85"/>
      <c r="B26" s="95"/>
      <c r="C26" s="85"/>
      <c r="D26" s="85"/>
      <c r="E26" s="95"/>
      <c r="F26" s="98"/>
      <c r="G26" s="63"/>
      <c r="K26" s="259" t="s">
        <v>165</v>
      </c>
      <c r="L26" s="260">
        <v>2019</v>
      </c>
      <c r="M26" s="260">
        <f>L26+1</f>
        <v>2020</v>
      </c>
      <c r="N26" s="260">
        <f t="shared" ref="N26:AP26" si="1">M26+1</f>
        <v>2021</v>
      </c>
      <c r="O26" s="291">
        <f t="shared" si="1"/>
        <v>2022</v>
      </c>
      <c r="P26" s="260">
        <f t="shared" si="1"/>
        <v>2023</v>
      </c>
      <c r="Q26" s="260">
        <f t="shared" si="1"/>
        <v>2024</v>
      </c>
      <c r="R26" s="260">
        <f t="shared" si="1"/>
        <v>2025</v>
      </c>
      <c r="S26" s="260">
        <f t="shared" si="1"/>
        <v>2026</v>
      </c>
      <c r="T26" s="260">
        <f t="shared" si="1"/>
        <v>2027</v>
      </c>
      <c r="U26" s="260">
        <f t="shared" si="1"/>
        <v>2028</v>
      </c>
      <c r="V26" s="260">
        <f t="shared" si="1"/>
        <v>2029</v>
      </c>
      <c r="W26" s="260">
        <f t="shared" si="1"/>
        <v>2030</v>
      </c>
      <c r="X26" s="260">
        <f t="shared" si="1"/>
        <v>2031</v>
      </c>
      <c r="Y26" s="261">
        <f t="shared" si="1"/>
        <v>2032</v>
      </c>
      <c r="Z26" s="260">
        <f t="shared" si="1"/>
        <v>2033</v>
      </c>
      <c r="AA26" s="260">
        <f t="shared" si="1"/>
        <v>2034</v>
      </c>
      <c r="AB26" s="261">
        <f t="shared" si="1"/>
        <v>2035</v>
      </c>
      <c r="AC26" s="260">
        <f t="shared" si="1"/>
        <v>2036</v>
      </c>
      <c r="AD26" s="260">
        <f t="shared" si="1"/>
        <v>2037</v>
      </c>
      <c r="AE26" s="260">
        <f t="shared" si="1"/>
        <v>2038</v>
      </c>
      <c r="AF26" s="260">
        <f t="shared" si="1"/>
        <v>2039</v>
      </c>
      <c r="AG26" s="260">
        <f t="shared" si="1"/>
        <v>2040</v>
      </c>
      <c r="AH26" s="260">
        <f t="shared" si="1"/>
        <v>2041</v>
      </c>
      <c r="AI26" s="260">
        <f t="shared" si="1"/>
        <v>2042</v>
      </c>
      <c r="AJ26" s="260">
        <f t="shared" si="1"/>
        <v>2043</v>
      </c>
      <c r="AK26" s="260">
        <f t="shared" si="1"/>
        <v>2044</v>
      </c>
      <c r="AL26" s="260">
        <f t="shared" si="1"/>
        <v>2045</v>
      </c>
      <c r="AM26" s="260">
        <f t="shared" si="1"/>
        <v>2046</v>
      </c>
      <c r="AN26" s="260">
        <f t="shared" si="1"/>
        <v>2047</v>
      </c>
      <c r="AO26" s="260">
        <f t="shared" si="1"/>
        <v>2048</v>
      </c>
      <c r="AP26" s="260">
        <f t="shared" si="1"/>
        <v>2049</v>
      </c>
      <c r="AQ26" s="85"/>
    </row>
    <row r="27" spans="1:43" ht="15.5" thickBot="1" x14ac:dyDescent="0.9">
      <c r="A27" s="89"/>
      <c r="B27" s="89"/>
      <c r="C27" s="85"/>
      <c r="D27" s="85"/>
      <c r="E27" s="96"/>
      <c r="F27" s="85"/>
      <c r="J27" s="214"/>
      <c r="K27" s="269" t="s">
        <v>242</v>
      </c>
      <c r="L27" s="270">
        <v>0</v>
      </c>
      <c r="M27" s="271">
        <v>0</v>
      </c>
      <c r="N27" s="272">
        <v>0</v>
      </c>
      <c r="O27" s="358">
        <f>O24</f>
        <v>0</v>
      </c>
      <c r="P27" s="272">
        <f t="shared" ref="P27:Q27" si="2">P25*O27</f>
        <v>0</v>
      </c>
      <c r="Q27" s="272">
        <f t="shared" si="2"/>
        <v>0</v>
      </c>
      <c r="R27" s="272">
        <f t="shared" ref="R27:AE27" si="3">R24</f>
        <v>71739.130434782608</v>
      </c>
      <c r="S27" s="272">
        <f t="shared" si="3"/>
        <v>92739.130434782608</v>
      </c>
      <c r="T27" s="272">
        <f t="shared" si="3"/>
        <v>114739.13043478261</v>
      </c>
      <c r="U27" s="272">
        <f t="shared" si="3"/>
        <v>123739.13043478261</v>
      </c>
      <c r="V27" s="272">
        <f t="shared" si="3"/>
        <v>133739.13043478259</v>
      </c>
      <c r="W27" s="272">
        <f t="shared" si="3"/>
        <v>143739.13043478259</v>
      </c>
      <c r="X27" s="272">
        <f t="shared" si="3"/>
        <v>153739.13043478259</v>
      </c>
      <c r="Y27" s="272">
        <f t="shared" si="3"/>
        <v>158809.13043478262</v>
      </c>
      <c r="Z27" s="272">
        <f t="shared" si="3"/>
        <v>163929.83043478263</v>
      </c>
      <c r="AA27" s="272">
        <f t="shared" si="3"/>
        <v>169101.73743478264</v>
      </c>
      <c r="AB27" s="272">
        <f t="shared" si="3"/>
        <v>174325.36350478267</v>
      </c>
      <c r="AC27" s="272">
        <f t="shared" si="3"/>
        <v>179601.22583548268</v>
      </c>
      <c r="AD27" s="272">
        <f t="shared" si="3"/>
        <v>184929.8467894897</v>
      </c>
      <c r="AE27" s="272">
        <f t="shared" si="3"/>
        <v>190311.75395303679</v>
      </c>
      <c r="AF27" s="272">
        <f t="shared" ref="AF27:AP27" si="4">AF24</f>
        <v>190311.75395303679</v>
      </c>
      <c r="AG27" s="272">
        <f t="shared" si="4"/>
        <v>190311.75395303679</v>
      </c>
      <c r="AH27" s="272">
        <f t="shared" si="4"/>
        <v>190311.75395303679</v>
      </c>
      <c r="AI27" s="272">
        <f t="shared" si="4"/>
        <v>190311.75395303679</v>
      </c>
      <c r="AJ27" s="272">
        <f t="shared" si="4"/>
        <v>190311.75395303679</v>
      </c>
      <c r="AK27" s="272">
        <f t="shared" si="4"/>
        <v>190311.75395303679</v>
      </c>
      <c r="AL27" s="272">
        <f t="shared" si="4"/>
        <v>190311.75395303679</v>
      </c>
      <c r="AM27" s="272">
        <f t="shared" si="4"/>
        <v>190311.75395303679</v>
      </c>
      <c r="AN27" s="272">
        <f t="shared" si="4"/>
        <v>190311.75395303679</v>
      </c>
      <c r="AO27" s="272">
        <f t="shared" si="4"/>
        <v>190311.75395303679</v>
      </c>
      <c r="AP27" s="272">
        <f t="shared" si="4"/>
        <v>190311.75395303679</v>
      </c>
      <c r="AQ27" s="85"/>
    </row>
    <row r="28" spans="1:43" x14ac:dyDescent="0.75">
      <c r="A28" s="89"/>
      <c r="B28" s="89"/>
      <c r="C28" s="85"/>
      <c r="D28" s="85"/>
      <c r="E28" s="85"/>
      <c r="F28" s="85"/>
      <c r="H28" s="85"/>
      <c r="I28" s="85"/>
      <c r="J28" s="85"/>
      <c r="K28" s="88" t="s">
        <v>226</v>
      </c>
      <c r="L28" s="96"/>
      <c r="M28" s="96"/>
      <c r="N28" s="96"/>
      <c r="O28" s="96"/>
      <c r="P28" s="96"/>
      <c r="Q28" s="96"/>
      <c r="R28" s="96">
        <f>R27/2</f>
        <v>35869.565217391304</v>
      </c>
      <c r="S28" s="96">
        <f>S27/2</f>
        <v>46369.565217391304</v>
      </c>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row>
    <row r="29" spans="1:43" s="64" customFormat="1" x14ac:dyDescent="0.75">
      <c r="B29" s="66" t="s">
        <v>235</v>
      </c>
    </row>
    <row r="30" spans="1:43" s="64" customFormat="1" x14ac:dyDescent="0.75">
      <c r="B30" s="66"/>
    </row>
    <row r="31" spans="1:43" ht="15.5" thickBot="1" x14ac:dyDescent="0.9">
      <c r="K31" s="273"/>
      <c r="L31" s="273">
        <v>2019</v>
      </c>
      <c r="M31" s="273">
        <f>M26</f>
        <v>2020</v>
      </c>
      <c r="N31" s="273">
        <f t="shared" ref="N31:AP31" si="5">N26</f>
        <v>2021</v>
      </c>
      <c r="O31" s="273">
        <f t="shared" si="5"/>
        <v>2022</v>
      </c>
      <c r="P31" s="273">
        <f t="shared" si="5"/>
        <v>2023</v>
      </c>
      <c r="Q31" s="273">
        <f t="shared" si="5"/>
        <v>2024</v>
      </c>
      <c r="R31" s="273">
        <f t="shared" si="5"/>
        <v>2025</v>
      </c>
      <c r="S31" s="273">
        <f t="shared" si="5"/>
        <v>2026</v>
      </c>
      <c r="T31" s="273">
        <f t="shared" si="5"/>
        <v>2027</v>
      </c>
      <c r="U31" s="273">
        <f t="shared" si="5"/>
        <v>2028</v>
      </c>
      <c r="V31" s="273">
        <f t="shared" si="5"/>
        <v>2029</v>
      </c>
      <c r="W31" s="273">
        <f t="shared" si="5"/>
        <v>2030</v>
      </c>
      <c r="X31" s="273">
        <f t="shared" si="5"/>
        <v>2031</v>
      </c>
      <c r="Y31" s="273">
        <f t="shared" si="5"/>
        <v>2032</v>
      </c>
      <c r="Z31" s="273">
        <f t="shared" si="5"/>
        <v>2033</v>
      </c>
      <c r="AA31" s="273">
        <f t="shared" si="5"/>
        <v>2034</v>
      </c>
      <c r="AB31" s="273">
        <f t="shared" si="5"/>
        <v>2035</v>
      </c>
      <c r="AC31" s="273">
        <f t="shared" si="5"/>
        <v>2036</v>
      </c>
      <c r="AD31" s="273">
        <f t="shared" si="5"/>
        <v>2037</v>
      </c>
      <c r="AE31" s="273">
        <f t="shared" si="5"/>
        <v>2038</v>
      </c>
      <c r="AF31" s="273">
        <f t="shared" si="5"/>
        <v>2039</v>
      </c>
      <c r="AG31" s="273">
        <f t="shared" si="5"/>
        <v>2040</v>
      </c>
      <c r="AH31" s="273">
        <f t="shared" si="5"/>
        <v>2041</v>
      </c>
      <c r="AI31" s="273">
        <f t="shared" si="5"/>
        <v>2042</v>
      </c>
      <c r="AJ31" s="273">
        <f t="shared" si="5"/>
        <v>2043</v>
      </c>
      <c r="AK31" s="273">
        <f t="shared" si="5"/>
        <v>2044</v>
      </c>
      <c r="AL31" s="273">
        <f t="shared" si="5"/>
        <v>2045</v>
      </c>
      <c r="AM31" s="273">
        <f t="shared" si="5"/>
        <v>2046</v>
      </c>
      <c r="AN31" s="273">
        <f t="shared" si="5"/>
        <v>2047</v>
      </c>
      <c r="AO31" s="273">
        <f t="shared" si="5"/>
        <v>2048</v>
      </c>
      <c r="AP31" s="273">
        <f t="shared" si="5"/>
        <v>2049</v>
      </c>
    </row>
    <row r="32" spans="1:43" ht="45" thickBot="1" x14ac:dyDescent="0.9">
      <c r="H32" s="277"/>
      <c r="I32" s="222" t="s">
        <v>227</v>
      </c>
      <c r="J32" s="213"/>
      <c r="K32" s="274" t="s">
        <v>231</v>
      </c>
      <c r="L32" s="275">
        <v>0</v>
      </c>
      <c r="M32" s="275">
        <v>0</v>
      </c>
      <c r="N32" s="276">
        <f>N27/22*D40*2</f>
        <v>0</v>
      </c>
      <c r="O32" s="276">
        <f>O27*$D$40</f>
        <v>0</v>
      </c>
      <c r="P32" s="276">
        <f t="shared" ref="P32:AP32" si="6">P27*$D$40</f>
        <v>0</v>
      </c>
      <c r="Q32" s="276">
        <f t="shared" si="6"/>
        <v>0</v>
      </c>
      <c r="R32" s="276">
        <f t="shared" si="6"/>
        <v>12181304.347826088</v>
      </c>
      <c r="S32" s="276">
        <f t="shared" si="6"/>
        <v>15747104.347826088</v>
      </c>
      <c r="T32" s="276">
        <f t="shared" si="6"/>
        <v>19482704.34782609</v>
      </c>
      <c r="U32" s="276">
        <f t="shared" si="6"/>
        <v>21010904.34782609</v>
      </c>
      <c r="V32" s="276">
        <f t="shared" si="6"/>
        <v>22708904.347826086</v>
      </c>
      <c r="W32" s="276">
        <f t="shared" si="6"/>
        <v>24406904.347826086</v>
      </c>
      <c r="X32" s="276">
        <f t="shared" si="6"/>
        <v>26104904.347826086</v>
      </c>
      <c r="Y32" s="276">
        <f t="shared" si="6"/>
        <v>26965790.34782609</v>
      </c>
      <c r="Z32" s="276">
        <f t="shared" si="6"/>
        <v>27835285.207826093</v>
      </c>
      <c r="AA32" s="276">
        <f t="shared" si="6"/>
        <v>28713475.016426094</v>
      </c>
      <c r="AB32" s="276">
        <f t="shared" si="6"/>
        <v>29600446.723112099</v>
      </c>
      <c r="AC32" s="276">
        <f t="shared" si="6"/>
        <v>30496288.146864962</v>
      </c>
      <c r="AD32" s="276">
        <f t="shared" si="6"/>
        <v>31401087.984855354</v>
      </c>
      <c r="AE32" s="276">
        <f t="shared" si="6"/>
        <v>32314935.821225651</v>
      </c>
      <c r="AF32" s="276">
        <f t="shared" si="6"/>
        <v>32314935.821225651</v>
      </c>
      <c r="AG32" s="276">
        <f t="shared" si="6"/>
        <v>32314935.821225651</v>
      </c>
      <c r="AH32" s="276">
        <f t="shared" si="6"/>
        <v>32314935.821225651</v>
      </c>
      <c r="AI32" s="276">
        <f t="shared" si="6"/>
        <v>32314935.821225651</v>
      </c>
      <c r="AJ32" s="276">
        <f t="shared" si="6"/>
        <v>32314935.821225651</v>
      </c>
      <c r="AK32" s="276">
        <f t="shared" si="6"/>
        <v>32314935.821225651</v>
      </c>
      <c r="AL32" s="276">
        <f t="shared" si="6"/>
        <v>32314935.821225651</v>
      </c>
      <c r="AM32" s="276">
        <f t="shared" si="6"/>
        <v>32314935.821225651</v>
      </c>
      <c r="AN32" s="276">
        <f t="shared" si="6"/>
        <v>32314935.821225651</v>
      </c>
      <c r="AO32" s="276">
        <f t="shared" si="6"/>
        <v>32314935.821225651</v>
      </c>
      <c r="AP32" s="276">
        <f t="shared" si="6"/>
        <v>32314935.821225651</v>
      </c>
      <c r="AQ32" s="217"/>
    </row>
    <row r="33" spans="2:45" ht="19" customHeight="1" x14ac:dyDescent="0.75">
      <c r="K33" s="136"/>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row>
    <row r="34" spans="2:45" ht="16.75" customHeight="1" x14ac:dyDescent="0.75">
      <c r="K34" s="279"/>
      <c r="L34" s="279">
        <f>L31</f>
        <v>2019</v>
      </c>
      <c r="M34" s="279">
        <f t="shared" ref="M34:AP34" si="7">M31</f>
        <v>2020</v>
      </c>
      <c r="N34" s="279">
        <f t="shared" si="7"/>
        <v>2021</v>
      </c>
      <c r="O34" s="279">
        <f t="shared" si="7"/>
        <v>2022</v>
      </c>
      <c r="P34" s="279">
        <f t="shared" si="7"/>
        <v>2023</v>
      </c>
      <c r="Q34" s="279">
        <f t="shared" si="7"/>
        <v>2024</v>
      </c>
      <c r="R34" s="279">
        <f t="shared" si="7"/>
        <v>2025</v>
      </c>
      <c r="S34" s="279">
        <f t="shared" si="7"/>
        <v>2026</v>
      </c>
      <c r="T34" s="279">
        <f t="shared" si="7"/>
        <v>2027</v>
      </c>
      <c r="U34" s="279">
        <f t="shared" si="7"/>
        <v>2028</v>
      </c>
      <c r="V34" s="279">
        <f t="shared" si="7"/>
        <v>2029</v>
      </c>
      <c r="W34" s="279">
        <f t="shared" si="7"/>
        <v>2030</v>
      </c>
      <c r="X34" s="279">
        <f t="shared" si="7"/>
        <v>2031</v>
      </c>
      <c r="Y34" s="279">
        <f t="shared" si="7"/>
        <v>2032</v>
      </c>
      <c r="Z34" s="279">
        <f t="shared" si="7"/>
        <v>2033</v>
      </c>
      <c r="AA34" s="279">
        <f t="shared" si="7"/>
        <v>2034</v>
      </c>
      <c r="AB34" s="279">
        <f t="shared" si="7"/>
        <v>2035</v>
      </c>
      <c r="AC34" s="279">
        <f t="shared" si="7"/>
        <v>2036</v>
      </c>
      <c r="AD34" s="279">
        <f t="shared" si="7"/>
        <v>2037</v>
      </c>
      <c r="AE34" s="279">
        <f t="shared" si="7"/>
        <v>2038</v>
      </c>
      <c r="AF34" s="279">
        <f t="shared" si="7"/>
        <v>2039</v>
      </c>
      <c r="AG34" s="279">
        <f t="shared" si="7"/>
        <v>2040</v>
      </c>
      <c r="AH34" s="279">
        <f t="shared" si="7"/>
        <v>2041</v>
      </c>
      <c r="AI34" s="279">
        <f t="shared" si="7"/>
        <v>2042</v>
      </c>
      <c r="AJ34" s="279">
        <f t="shared" si="7"/>
        <v>2043</v>
      </c>
      <c r="AK34" s="279">
        <f t="shared" si="7"/>
        <v>2044</v>
      </c>
      <c r="AL34" s="279">
        <f t="shared" si="7"/>
        <v>2045</v>
      </c>
      <c r="AM34" s="279">
        <f t="shared" si="7"/>
        <v>2046</v>
      </c>
      <c r="AN34" s="279">
        <f t="shared" si="7"/>
        <v>2047</v>
      </c>
      <c r="AO34" s="279">
        <f t="shared" si="7"/>
        <v>2048</v>
      </c>
      <c r="AP34" s="279">
        <f t="shared" si="7"/>
        <v>2049</v>
      </c>
    </row>
    <row r="35" spans="2:45" ht="15.5" thickBot="1" x14ac:dyDescent="0.9">
      <c r="C35" s="418">
        <f>C38+C39</f>
        <v>71738</v>
      </c>
      <c r="D35" s="88"/>
      <c r="E35" s="88"/>
      <c r="F35" s="88"/>
      <c r="G35" s="88"/>
      <c r="H35" s="88"/>
      <c r="I35" s="280"/>
      <c r="K35" s="281"/>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row>
    <row r="36" spans="2:45" ht="15.5" thickBot="1" x14ac:dyDescent="0.9">
      <c r="B36" s="228" t="s">
        <v>270</v>
      </c>
      <c r="C36" s="229"/>
      <c r="D36" s="230"/>
      <c r="E36" s="88"/>
      <c r="F36" s="88"/>
      <c r="G36" s="88"/>
      <c r="H36" s="88"/>
      <c r="I36" s="283"/>
      <c r="K36" s="285" t="s">
        <v>212</v>
      </c>
      <c r="L36" s="284">
        <f>L27</f>
        <v>0</v>
      </c>
      <c r="M36" s="284">
        <f t="shared" ref="M36" si="8">M27</f>
        <v>0</v>
      </c>
      <c r="N36" s="284">
        <v>0</v>
      </c>
      <c r="O36" s="284">
        <f>$C$12*O27/2</f>
        <v>0</v>
      </c>
      <c r="P36" s="284">
        <f t="shared" ref="P36:Q36" si="9">$C$12*P27/2</f>
        <v>0</v>
      </c>
      <c r="Q36" s="284">
        <f t="shared" si="9"/>
        <v>0</v>
      </c>
      <c r="R36" s="284">
        <f>$D$43*R27/2</f>
        <v>789130.43478260865</v>
      </c>
      <c r="S36" s="284">
        <f>$D$43*S27/2</f>
        <v>1020130.4347826086</v>
      </c>
      <c r="T36" s="284">
        <f t="shared" ref="T36:AP36" si="10">$D$43*T27/2</f>
        <v>1262130.4347826086</v>
      </c>
      <c r="U36" s="284">
        <f t="shared" si="10"/>
        <v>1361130.4347826086</v>
      </c>
      <c r="V36" s="284">
        <f t="shared" si="10"/>
        <v>1471130.4347826084</v>
      </c>
      <c r="W36" s="284">
        <f t="shared" si="10"/>
        <v>1581130.4347826084</v>
      </c>
      <c r="X36" s="284">
        <f t="shared" si="10"/>
        <v>1691130.4347826084</v>
      </c>
      <c r="Y36" s="284">
        <f t="shared" si="10"/>
        <v>1746900.4347826089</v>
      </c>
      <c r="Z36" s="284">
        <f t="shared" si="10"/>
        <v>1803228.1347826091</v>
      </c>
      <c r="AA36" s="284">
        <f t="shared" si="10"/>
        <v>1860119.111782609</v>
      </c>
      <c r="AB36" s="284">
        <f t="shared" si="10"/>
        <v>1917578.9985526092</v>
      </c>
      <c r="AC36" s="284">
        <f t="shared" si="10"/>
        <v>1975613.4841903094</v>
      </c>
      <c r="AD36" s="284">
        <f t="shared" si="10"/>
        <v>2034228.3146843868</v>
      </c>
      <c r="AE36" s="284">
        <f t="shared" si="10"/>
        <v>2093429.2934834047</v>
      </c>
      <c r="AF36" s="284">
        <f t="shared" si="10"/>
        <v>2093429.2934834047</v>
      </c>
      <c r="AG36" s="284">
        <f t="shared" si="10"/>
        <v>2093429.2934834047</v>
      </c>
      <c r="AH36" s="284">
        <f t="shared" si="10"/>
        <v>2093429.2934834047</v>
      </c>
      <c r="AI36" s="284">
        <f t="shared" si="10"/>
        <v>2093429.2934834047</v>
      </c>
      <c r="AJ36" s="284">
        <f t="shared" si="10"/>
        <v>2093429.2934834047</v>
      </c>
      <c r="AK36" s="284">
        <f t="shared" si="10"/>
        <v>2093429.2934834047</v>
      </c>
      <c r="AL36" s="284">
        <f t="shared" si="10"/>
        <v>2093429.2934834047</v>
      </c>
      <c r="AM36" s="284">
        <f t="shared" si="10"/>
        <v>2093429.2934834047</v>
      </c>
      <c r="AN36" s="284">
        <f t="shared" si="10"/>
        <v>2093429.2934834047</v>
      </c>
      <c r="AO36" s="284">
        <f t="shared" si="10"/>
        <v>2093429.2934834047</v>
      </c>
      <c r="AP36" s="284">
        <f t="shared" si="10"/>
        <v>2093429.2934834047</v>
      </c>
    </row>
    <row r="37" spans="2:45" ht="15.5" thickBot="1" x14ac:dyDescent="0.9">
      <c r="B37" s="337" t="s">
        <v>225</v>
      </c>
      <c r="C37" s="338" t="s">
        <v>271</v>
      </c>
      <c r="D37" s="338" t="s">
        <v>247</v>
      </c>
      <c r="E37" s="91"/>
      <c r="F37" s="88"/>
      <c r="G37" s="90"/>
      <c r="H37" s="90"/>
      <c r="I37" s="222" t="s">
        <v>228</v>
      </c>
      <c r="J37" s="213"/>
      <c r="K37" s="286" t="s">
        <v>213</v>
      </c>
      <c r="L37" s="287">
        <f>$D$40*L36</f>
        <v>0</v>
      </c>
      <c r="M37" s="288">
        <f>$D$40*M36</f>
        <v>0</v>
      </c>
      <c r="N37" s="288">
        <f t="shared" ref="N37:AP37" si="11">N36*$D$40</f>
        <v>0</v>
      </c>
      <c r="O37" s="288">
        <f t="shared" si="11"/>
        <v>0</v>
      </c>
      <c r="P37" s="288">
        <f t="shared" si="11"/>
        <v>0</v>
      </c>
      <c r="Q37" s="288">
        <f t="shared" si="11"/>
        <v>0</v>
      </c>
      <c r="R37" s="288">
        <f t="shared" si="11"/>
        <v>133994347.82608695</v>
      </c>
      <c r="S37" s="288">
        <f t="shared" si="11"/>
        <v>173218147.82608697</v>
      </c>
      <c r="T37" s="288">
        <f t="shared" si="11"/>
        <v>214309747.82608697</v>
      </c>
      <c r="U37" s="288">
        <f t="shared" si="11"/>
        <v>231119947.82608697</v>
      </c>
      <c r="V37" s="288">
        <f t="shared" si="11"/>
        <v>249797947.82608694</v>
      </c>
      <c r="W37" s="288">
        <f t="shared" si="11"/>
        <v>268475947.82608694</v>
      </c>
      <c r="X37" s="288">
        <f t="shared" si="11"/>
        <v>287153947.82608694</v>
      </c>
      <c r="Y37" s="288">
        <f t="shared" si="11"/>
        <v>296623693.826087</v>
      </c>
      <c r="Z37" s="288">
        <f t="shared" si="11"/>
        <v>306188137.28608704</v>
      </c>
      <c r="AA37" s="288">
        <f t="shared" si="11"/>
        <v>315848225.18068701</v>
      </c>
      <c r="AB37" s="288">
        <f t="shared" si="11"/>
        <v>325604913.95423305</v>
      </c>
      <c r="AC37" s="288">
        <f t="shared" si="11"/>
        <v>335459169.61551458</v>
      </c>
      <c r="AD37" s="288">
        <f t="shared" si="11"/>
        <v>345411967.83340889</v>
      </c>
      <c r="AE37" s="288">
        <f t="shared" si="11"/>
        <v>355464294.03348213</v>
      </c>
      <c r="AF37" s="288">
        <f t="shared" si="11"/>
        <v>355464294.03348213</v>
      </c>
      <c r="AG37" s="288">
        <f t="shared" si="11"/>
        <v>355464294.03348213</v>
      </c>
      <c r="AH37" s="288">
        <f t="shared" si="11"/>
        <v>355464294.03348213</v>
      </c>
      <c r="AI37" s="288">
        <f t="shared" si="11"/>
        <v>355464294.03348213</v>
      </c>
      <c r="AJ37" s="288">
        <f t="shared" si="11"/>
        <v>355464294.03348213</v>
      </c>
      <c r="AK37" s="288">
        <f t="shared" si="11"/>
        <v>355464294.03348213</v>
      </c>
      <c r="AL37" s="288">
        <f t="shared" si="11"/>
        <v>355464294.03348213</v>
      </c>
      <c r="AM37" s="288">
        <f t="shared" si="11"/>
        <v>355464294.03348213</v>
      </c>
      <c r="AN37" s="288">
        <f t="shared" si="11"/>
        <v>355464294.03348213</v>
      </c>
      <c r="AO37" s="288">
        <f t="shared" si="11"/>
        <v>355464294.03348213</v>
      </c>
      <c r="AP37" s="288">
        <f t="shared" si="11"/>
        <v>355464294.03348213</v>
      </c>
    </row>
    <row r="38" spans="2:45" s="100" customFormat="1" x14ac:dyDescent="0.75">
      <c r="B38" s="113" t="s">
        <v>237</v>
      </c>
      <c r="C38" s="339">
        <f>B3</f>
        <v>35869</v>
      </c>
      <c r="D38" s="340">
        <f>C3</f>
        <v>169.8</v>
      </c>
      <c r="E38" s="91"/>
      <c r="F38" s="88"/>
      <c r="G38" s="90"/>
      <c r="H38" s="90"/>
      <c r="I38" s="89"/>
      <c r="J38" s="85"/>
      <c r="K38" s="328"/>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row>
    <row r="39" spans="2:45" s="100" customFormat="1" x14ac:dyDescent="0.75">
      <c r="B39" s="113" t="s">
        <v>238</v>
      </c>
      <c r="C39" s="339">
        <f>B4</f>
        <v>35869</v>
      </c>
      <c r="D39" s="340">
        <f>C4</f>
        <v>169.8</v>
      </c>
      <c r="E39" s="91"/>
      <c r="F39" s="88"/>
      <c r="G39" s="90"/>
      <c r="H39" s="90"/>
      <c r="I39" s="89"/>
      <c r="J39" s="85"/>
      <c r="K39" s="328"/>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row>
    <row r="40" spans="2:45" x14ac:dyDescent="0.75">
      <c r="B40" s="344" t="s">
        <v>232</v>
      </c>
      <c r="C40" s="341"/>
      <c r="D40" s="125">
        <f>C4</f>
        <v>169.8</v>
      </c>
      <c r="E40" s="85"/>
      <c r="F40" s="85"/>
      <c r="G40" s="97"/>
      <c r="H40" s="60"/>
      <c r="I40" s="60"/>
      <c r="J40" s="60"/>
      <c r="K40" s="85"/>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60"/>
      <c r="AR40" s="60"/>
      <c r="AS40" s="60"/>
    </row>
    <row r="41" spans="2:45" ht="15.5" thickBot="1" x14ac:dyDescent="0.9">
      <c r="B41" s="278"/>
      <c r="C41" s="61"/>
      <c r="D41" s="62"/>
      <c r="E41" s="89"/>
      <c r="F41" s="101"/>
      <c r="G41" s="99"/>
      <c r="H41" s="60"/>
      <c r="I41" s="60"/>
      <c r="J41" s="60"/>
      <c r="K41" s="85"/>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60"/>
      <c r="AR41" s="60"/>
      <c r="AS41" s="60"/>
    </row>
    <row r="42" spans="2:45" ht="30.25" thickBot="1" x14ac:dyDescent="0.9">
      <c r="B42" s="77" t="s">
        <v>233</v>
      </c>
      <c r="C42" s="249"/>
      <c r="D42" s="331">
        <v>1</v>
      </c>
      <c r="E42" s="85"/>
      <c r="K42" s="289" t="s">
        <v>155</v>
      </c>
      <c r="L42" s="276"/>
      <c r="M42" s="276"/>
      <c r="N42" s="276">
        <v>0</v>
      </c>
      <c r="O42" s="276">
        <f>O32</f>
        <v>0</v>
      </c>
      <c r="P42" s="276">
        <f t="shared" ref="P42:AP42" si="12">P32</f>
        <v>0</v>
      </c>
      <c r="Q42" s="276">
        <f t="shared" si="12"/>
        <v>0</v>
      </c>
      <c r="R42" s="276">
        <v>0</v>
      </c>
      <c r="S42" s="276">
        <f t="shared" si="12"/>
        <v>15747104.347826088</v>
      </c>
      <c r="T42" s="276">
        <f t="shared" si="12"/>
        <v>19482704.34782609</v>
      </c>
      <c r="U42" s="276">
        <f t="shared" si="12"/>
        <v>21010904.34782609</v>
      </c>
      <c r="V42" s="276">
        <f t="shared" si="12"/>
        <v>22708904.347826086</v>
      </c>
      <c r="W42" s="276">
        <f t="shared" si="12"/>
        <v>24406904.347826086</v>
      </c>
      <c r="X42" s="276">
        <f t="shared" si="12"/>
        <v>26104904.347826086</v>
      </c>
      <c r="Y42" s="276">
        <f t="shared" si="12"/>
        <v>26965790.34782609</v>
      </c>
      <c r="Z42" s="276">
        <f t="shared" si="12"/>
        <v>27835285.207826093</v>
      </c>
      <c r="AA42" s="276">
        <f t="shared" si="12"/>
        <v>28713475.016426094</v>
      </c>
      <c r="AB42" s="276">
        <f t="shared" si="12"/>
        <v>29600446.723112099</v>
      </c>
      <c r="AC42" s="276">
        <f t="shared" si="12"/>
        <v>30496288.146864962</v>
      </c>
      <c r="AD42" s="276">
        <f t="shared" si="12"/>
        <v>31401087.984855354</v>
      </c>
      <c r="AE42" s="276">
        <f t="shared" si="12"/>
        <v>32314935.821225651</v>
      </c>
      <c r="AF42" s="276">
        <f t="shared" si="12"/>
        <v>32314935.821225651</v>
      </c>
      <c r="AG42" s="276">
        <f t="shared" si="12"/>
        <v>32314935.821225651</v>
      </c>
      <c r="AH42" s="276">
        <f t="shared" si="12"/>
        <v>32314935.821225651</v>
      </c>
      <c r="AI42" s="276">
        <f t="shared" si="12"/>
        <v>32314935.821225651</v>
      </c>
      <c r="AJ42" s="276">
        <f t="shared" si="12"/>
        <v>32314935.821225651</v>
      </c>
      <c r="AK42" s="276">
        <f t="shared" si="12"/>
        <v>32314935.821225651</v>
      </c>
      <c r="AL42" s="276">
        <f t="shared" si="12"/>
        <v>32314935.821225651</v>
      </c>
      <c r="AM42" s="276">
        <f t="shared" si="12"/>
        <v>32314935.821225651</v>
      </c>
      <c r="AN42" s="276">
        <f t="shared" si="12"/>
        <v>32314935.821225651</v>
      </c>
      <c r="AO42" s="276">
        <f t="shared" si="12"/>
        <v>32314935.821225651</v>
      </c>
      <c r="AP42" s="276">
        <f t="shared" si="12"/>
        <v>32314935.821225651</v>
      </c>
    </row>
    <row r="43" spans="2:45" ht="15.5" thickBot="1" x14ac:dyDescent="0.9">
      <c r="B43" s="329" t="s">
        <v>251</v>
      </c>
      <c r="C43" s="330"/>
      <c r="D43" s="359">
        <f>C12</f>
        <v>22</v>
      </c>
      <c r="E43" s="85"/>
      <c r="K43" s="290" t="s">
        <v>186</v>
      </c>
      <c r="L43" s="291">
        <f>$D$43*L27*$D$40</f>
        <v>0</v>
      </c>
      <c r="M43" s="196">
        <f>$D$43*M27*$D$40</f>
        <v>0</v>
      </c>
      <c r="N43" s="196">
        <v>0</v>
      </c>
      <c r="O43" s="196">
        <f>O37</f>
        <v>0</v>
      </c>
      <c r="P43" s="196">
        <f t="shared" ref="P43:AP43" si="13">P37</f>
        <v>0</v>
      </c>
      <c r="Q43" s="196">
        <f t="shared" si="13"/>
        <v>0</v>
      </c>
      <c r="R43" s="196">
        <v>0</v>
      </c>
      <c r="S43" s="196">
        <f t="shared" si="13"/>
        <v>173218147.82608697</v>
      </c>
      <c r="T43" s="196">
        <f t="shared" si="13"/>
        <v>214309747.82608697</v>
      </c>
      <c r="U43" s="196">
        <f t="shared" si="13"/>
        <v>231119947.82608697</v>
      </c>
      <c r="V43" s="196">
        <f t="shared" si="13"/>
        <v>249797947.82608694</v>
      </c>
      <c r="W43" s="196">
        <f t="shared" si="13"/>
        <v>268475947.82608694</v>
      </c>
      <c r="X43" s="196">
        <f t="shared" si="13"/>
        <v>287153947.82608694</v>
      </c>
      <c r="Y43" s="196">
        <f t="shared" si="13"/>
        <v>296623693.826087</v>
      </c>
      <c r="Z43" s="196">
        <f t="shared" si="13"/>
        <v>306188137.28608704</v>
      </c>
      <c r="AA43" s="196">
        <f t="shared" si="13"/>
        <v>315848225.18068701</v>
      </c>
      <c r="AB43" s="196">
        <f t="shared" si="13"/>
        <v>325604913.95423305</v>
      </c>
      <c r="AC43" s="196">
        <f t="shared" si="13"/>
        <v>335459169.61551458</v>
      </c>
      <c r="AD43" s="196">
        <f t="shared" si="13"/>
        <v>345411967.83340889</v>
      </c>
      <c r="AE43" s="196">
        <f t="shared" si="13"/>
        <v>355464294.03348213</v>
      </c>
      <c r="AF43" s="196">
        <f t="shared" si="13"/>
        <v>355464294.03348213</v>
      </c>
      <c r="AG43" s="196">
        <f t="shared" si="13"/>
        <v>355464294.03348213</v>
      </c>
      <c r="AH43" s="196">
        <f t="shared" si="13"/>
        <v>355464294.03348213</v>
      </c>
      <c r="AI43" s="196">
        <f t="shared" si="13"/>
        <v>355464294.03348213</v>
      </c>
      <c r="AJ43" s="196">
        <f t="shared" si="13"/>
        <v>355464294.03348213</v>
      </c>
      <c r="AK43" s="196">
        <f t="shared" si="13"/>
        <v>355464294.03348213</v>
      </c>
      <c r="AL43" s="196">
        <f t="shared" si="13"/>
        <v>355464294.03348213</v>
      </c>
      <c r="AM43" s="196">
        <f t="shared" si="13"/>
        <v>355464294.03348213</v>
      </c>
      <c r="AN43" s="196">
        <f t="shared" si="13"/>
        <v>355464294.03348213</v>
      </c>
      <c r="AO43" s="196">
        <f t="shared" si="13"/>
        <v>355464294.03348213</v>
      </c>
      <c r="AP43" s="196">
        <f t="shared" si="13"/>
        <v>355464294.03348213</v>
      </c>
    </row>
    <row r="44" spans="2:45" s="64" customFormat="1" ht="16.75" thickBot="1" x14ac:dyDescent="0.95">
      <c r="B44" s="70" t="s">
        <v>153</v>
      </c>
    </row>
    <row r="45" spans="2:45" ht="45" thickBot="1" x14ac:dyDescent="0.9">
      <c r="J45" s="225" t="s">
        <v>229</v>
      </c>
      <c r="K45" s="292" t="s">
        <v>223</v>
      </c>
      <c r="L45" s="113">
        <f t="shared" ref="L45:AP45" si="14">L34</f>
        <v>2019</v>
      </c>
      <c r="M45" s="113">
        <f t="shared" si="14"/>
        <v>2020</v>
      </c>
      <c r="N45" s="113">
        <f t="shared" si="14"/>
        <v>2021</v>
      </c>
      <c r="O45" s="113">
        <f t="shared" si="14"/>
        <v>2022</v>
      </c>
      <c r="P45" s="113">
        <f t="shared" si="14"/>
        <v>2023</v>
      </c>
      <c r="Q45" s="113">
        <f t="shared" si="14"/>
        <v>2024</v>
      </c>
      <c r="R45" s="113">
        <f t="shared" si="14"/>
        <v>2025</v>
      </c>
      <c r="S45" s="113">
        <f t="shared" si="14"/>
        <v>2026</v>
      </c>
      <c r="T45" s="113">
        <f t="shared" si="14"/>
        <v>2027</v>
      </c>
      <c r="U45" s="113">
        <f t="shared" si="14"/>
        <v>2028</v>
      </c>
      <c r="V45" s="113">
        <f t="shared" si="14"/>
        <v>2029</v>
      </c>
      <c r="W45" s="113">
        <f t="shared" si="14"/>
        <v>2030</v>
      </c>
      <c r="X45" s="113">
        <f t="shared" si="14"/>
        <v>2031</v>
      </c>
      <c r="Y45" s="113">
        <f t="shared" si="14"/>
        <v>2032</v>
      </c>
      <c r="Z45" s="113">
        <f t="shared" si="14"/>
        <v>2033</v>
      </c>
      <c r="AA45" s="113">
        <f t="shared" si="14"/>
        <v>2034</v>
      </c>
      <c r="AB45" s="113">
        <f t="shared" si="14"/>
        <v>2035</v>
      </c>
      <c r="AC45" s="113">
        <f t="shared" si="14"/>
        <v>2036</v>
      </c>
      <c r="AD45" s="113">
        <f t="shared" si="14"/>
        <v>2037</v>
      </c>
      <c r="AE45" s="113">
        <f t="shared" si="14"/>
        <v>2038</v>
      </c>
      <c r="AF45" s="113">
        <f t="shared" si="14"/>
        <v>2039</v>
      </c>
      <c r="AG45" s="113">
        <f t="shared" si="14"/>
        <v>2040</v>
      </c>
      <c r="AH45" s="113">
        <f t="shared" si="14"/>
        <v>2041</v>
      </c>
      <c r="AI45" s="113">
        <f t="shared" si="14"/>
        <v>2042</v>
      </c>
      <c r="AJ45" s="113">
        <f t="shared" si="14"/>
        <v>2043</v>
      </c>
      <c r="AK45" s="113">
        <f t="shared" si="14"/>
        <v>2044</v>
      </c>
      <c r="AL45" s="113">
        <f t="shared" si="14"/>
        <v>2045</v>
      </c>
      <c r="AM45" s="113">
        <f t="shared" si="14"/>
        <v>2046</v>
      </c>
      <c r="AN45" s="113">
        <f t="shared" si="14"/>
        <v>2047</v>
      </c>
      <c r="AO45" s="113">
        <f t="shared" si="14"/>
        <v>2048</v>
      </c>
      <c r="AP45" s="113">
        <f t="shared" si="14"/>
        <v>2049</v>
      </c>
    </row>
    <row r="46" spans="2:45" x14ac:dyDescent="0.75">
      <c r="B46" s="117" t="s">
        <v>131</v>
      </c>
      <c r="C46" s="119" t="s">
        <v>195</v>
      </c>
      <c r="D46" s="88"/>
      <c r="E46" s="88">
        <v>16</v>
      </c>
      <c r="K46" s="113" t="s">
        <v>222</v>
      </c>
      <c r="L46" s="132">
        <f>L42/1000000*$C$49</f>
        <v>0</v>
      </c>
      <c r="M46" s="132">
        <f t="shared" ref="M46" si="15">M42/1000000*$C$49</f>
        <v>0</v>
      </c>
      <c r="N46" s="132">
        <f>N43/1000000*$C$49</f>
        <v>0</v>
      </c>
      <c r="O46" s="132">
        <f t="shared" ref="O46:AP46" si="16">O43/1000000*$C$49</f>
        <v>0</v>
      </c>
      <c r="P46" s="132">
        <f t="shared" si="16"/>
        <v>0</v>
      </c>
      <c r="Q46" s="132">
        <f t="shared" si="16"/>
        <v>0</v>
      </c>
      <c r="R46" s="132">
        <f t="shared" si="16"/>
        <v>0</v>
      </c>
      <c r="S46" s="132">
        <f t="shared" si="16"/>
        <v>20.630281406086958</v>
      </c>
      <c r="T46" s="132">
        <f t="shared" si="16"/>
        <v>25.524290966086959</v>
      </c>
      <c r="U46" s="132">
        <f t="shared" si="16"/>
        <v>27.526385786086955</v>
      </c>
      <c r="V46" s="132">
        <f t="shared" si="16"/>
        <v>29.750935586086953</v>
      </c>
      <c r="W46" s="132">
        <f t="shared" si="16"/>
        <v>31.975485386086955</v>
      </c>
      <c r="X46" s="132">
        <f t="shared" si="16"/>
        <v>34.200035186086957</v>
      </c>
      <c r="Y46" s="132">
        <f t="shared" si="16"/>
        <v>35.327881934686957</v>
      </c>
      <c r="Z46" s="132">
        <f t="shared" si="16"/>
        <v>36.467007150772965</v>
      </c>
      <c r="AA46" s="132">
        <f t="shared" si="16"/>
        <v>37.617523619019821</v>
      </c>
      <c r="AB46" s="132">
        <f t="shared" si="16"/>
        <v>38.779545251949152</v>
      </c>
      <c r="AC46" s="132">
        <f t="shared" si="16"/>
        <v>39.953187101207781</v>
      </c>
      <c r="AD46" s="132">
        <f t="shared" si="16"/>
        <v>41.138565368959</v>
      </c>
      <c r="AE46" s="132">
        <f t="shared" si="16"/>
        <v>42.335797419387724</v>
      </c>
      <c r="AF46" s="132">
        <f t="shared" si="16"/>
        <v>42.335797419387724</v>
      </c>
      <c r="AG46" s="132">
        <f t="shared" si="16"/>
        <v>42.335797419387724</v>
      </c>
      <c r="AH46" s="132">
        <f t="shared" si="16"/>
        <v>42.335797419387724</v>
      </c>
      <c r="AI46" s="132">
        <f t="shared" si="16"/>
        <v>42.335797419387724</v>
      </c>
      <c r="AJ46" s="132">
        <f t="shared" si="16"/>
        <v>42.335797419387724</v>
      </c>
      <c r="AK46" s="132">
        <f t="shared" si="16"/>
        <v>42.335797419387724</v>
      </c>
      <c r="AL46" s="132">
        <f t="shared" si="16"/>
        <v>42.335797419387724</v>
      </c>
      <c r="AM46" s="132">
        <f t="shared" si="16"/>
        <v>42.335797419387724</v>
      </c>
      <c r="AN46" s="132">
        <f t="shared" si="16"/>
        <v>42.335797419387724</v>
      </c>
      <c r="AO46" s="132">
        <f t="shared" si="16"/>
        <v>42.335797419387724</v>
      </c>
      <c r="AP46" s="132">
        <f t="shared" si="16"/>
        <v>42.335797419387724</v>
      </c>
    </row>
    <row r="47" spans="2:45" x14ac:dyDescent="0.75">
      <c r="B47" s="115" t="s">
        <v>60</v>
      </c>
      <c r="C47" s="115">
        <f>'Benefits Metrics '!G68</f>
        <v>3.0192999999999999</v>
      </c>
      <c r="D47" s="85"/>
      <c r="E47" s="85"/>
      <c r="F47" s="75"/>
      <c r="K47" s="138" t="s">
        <v>60</v>
      </c>
      <c r="L47" s="132">
        <f>L42/1000000*$C$47</f>
        <v>0</v>
      </c>
      <c r="M47" s="132">
        <f t="shared" ref="M47" si="17">M42/1000000*$C$47</f>
        <v>0</v>
      </c>
      <c r="N47" s="132">
        <f>N43/1000000*$C$47</f>
        <v>0</v>
      </c>
      <c r="O47" s="132">
        <f t="shared" ref="O47:AP47" si="18">O43/1000000*$C$47</f>
        <v>0</v>
      </c>
      <c r="P47" s="132">
        <f t="shared" si="18"/>
        <v>0</v>
      </c>
      <c r="Q47" s="132">
        <f t="shared" si="18"/>
        <v>0</v>
      </c>
      <c r="R47" s="132">
        <f t="shared" si="18"/>
        <v>0</v>
      </c>
      <c r="S47" s="132">
        <f t="shared" si="18"/>
        <v>522.99755373130438</v>
      </c>
      <c r="T47" s="132">
        <f t="shared" si="18"/>
        <v>647.06542161130437</v>
      </c>
      <c r="U47" s="132">
        <f t="shared" si="18"/>
        <v>697.82045847130428</v>
      </c>
      <c r="V47" s="132">
        <f t="shared" si="18"/>
        <v>754.21494387130417</v>
      </c>
      <c r="W47" s="132">
        <f t="shared" si="18"/>
        <v>810.60942927130429</v>
      </c>
      <c r="X47" s="132">
        <f t="shared" si="18"/>
        <v>867.0039146713043</v>
      </c>
      <c r="Y47" s="132">
        <f t="shared" si="18"/>
        <v>895.5959187691044</v>
      </c>
      <c r="Z47" s="132">
        <f t="shared" si="18"/>
        <v>924.47384290788261</v>
      </c>
      <c r="AA47" s="132">
        <f t="shared" si="18"/>
        <v>953.6405462880482</v>
      </c>
      <c r="AB47" s="132">
        <f t="shared" si="18"/>
        <v>983.0989167020158</v>
      </c>
      <c r="AC47" s="132">
        <f t="shared" si="18"/>
        <v>1012.8518708201231</v>
      </c>
      <c r="AD47" s="132">
        <f t="shared" si="18"/>
        <v>1042.9023544794113</v>
      </c>
      <c r="AE47" s="132">
        <f t="shared" si="18"/>
        <v>1073.2533429752925</v>
      </c>
      <c r="AF47" s="132">
        <f t="shared" si="18"/>
        <v>1073.2533429752925</v>
      </c>
      <c r="AG47" s="132">
        <f t="shared" si="18"/>
        <v>1073.2533429752925</v>
      </c>
      <c r="AH47" s="132">
        <f t="shared" si="18"/>
        <v>1073.2533429752925</v>
      </c>
      <c r="AI47" s="132">
        <f t="shared" si="18"/>
        <v>1073.2533429752925</v>
      </c>
      <c r="AJ47" s="132">
        <f t="shared" si="18"/>
        <v>1073.2533429752925</v>
      </c>
      <c r="AK47" s="132">
        <f t="shared" si="18"/>
        <v>1073.2533429752925</v>
      </c>
      <c r="AL47" s="132">
        <f t="shared" si="18"/>
        <v>1073.2533429752925</v>
      </c>
      <c r="AM47" s="132">
        <f t="shared" si="18"/>
        <v>1073.2533429752925</v>
      </c>
      <c r="AN47" s="132">
        <f t="shared" si="18"/>
        <v>1073.2533429752925</v>
      </c>
      <c r="AO47" s="132">
        <f t="shared" si="18"/>
        <v>1073.2533429752925</v>
      </c>
      <c r="AP47" s="132">
        <f t="shared" si="18"/>
        <v>1073.2533429752925</v>
      </c>
    </row>
    <row r="48" spans="2:45" x14ac:dyDescent="0.75">
      <c r="B48" s="115" t="s">
        <v>64</v>
      </c>
      <c r="C48" s="115">
        <f>'Benefits Metrics '!G71</f>
        <v>0.11</v>
      </c>
      <c r="D48" s="85"/>
      <c r="E48" s="85"/>
      <c r="G48" s="92"/>
      <c r="K48" s="131" t="s">
        <v>114</v>
      </c>
      <c r="L48" s="132">
        <f>L42/1000000*$C$50</f>
        <v>0</v>
      </c>
      <c r="M48" s="132">
        <f t="shared" ref="M48" si="19">M42/1000000*$C$50</f>
        <v>0</v>
      </c>
      <c r="N48" s="132">
        <f>N43/1000000*$C$50</f>
        <v>0</v>
      </c>
      <c r="O48" s="132">
        <f t="shared" ref="O48:AP48" si="20">O43/1000000*$C$50</f>
        <v>0</v>
      </c>
      <c r="P48" s="132">
        <f t="shared" si="20"/>
        <v>0</v>
      </c>
      <c r="Q48" s="132">
        <f t="shared" si="20"/>
        <v>0</v>
      </c>
      <c r="R48" s="132">
        <f t="shared" si="20"/>
        <v>0</v>
      </c>
      <c r="S48" s="132">
        <f t="shared" si="20"/>
        <v>0.95269981304347828</v>
      </c>
      <c r="T48" s="132">
        <f t="shared" si="20"/>
        <v>1.1787036130434783</v>
      </c>
      <c r="U48" s="132">
        <f t="shared" si="20"/>
        <v>1.2711597130434782</v>
      </c>
      <c r="V48" s="132">
        <f t="shared" si="20"/>
        <v>1.373888713043478</v>
      </c>
      <c r="W48" s="132">
        <f t="shared" si="20"/>
        <v>1.4766177130434781</v>
      </c>
      <c r="X48" s="132">
        <f t="shared" si="20"/>
        <v>1.5793467130434782</v>
      </c>
      <c r="Y48" s="132">
        <f t="shared" si="20"/>
        <v>1.6314303160434784</v>
      </c>
      <c r="Z48" s="132">
        <f t="shared" si="20"/>
        <v>1.6840347550734787</v>
      </c>
      <c r="AA48" s="132">
        <f t="shared" si="20"/>
        <v>1.7371652384937784</v>
      </c>
      <c r="AB48" s="132">
        <f t="shared" si="20"/>
        <v>1.7908270267482815</v>
      </c>
      <c r="AC48" s="132">
        <f t="shared" si="20"/>
        <v>1.8450254328853299</v>
      </c>
      <c r="AD48" s="132">
        <f t="shared" si="20"/>
        <v>1.8997658230837486</v>
      </c>
      <c r="AE48" s="132">
        <f t="shared" si="20"/>
        <v>1.9550536171841517</v>
      </c>
      <c r="AF48" s="132">
        <f t="shared" si="20"/>
        <v>1.9550536171841517</v>
      </c>
      <c r="AG48" s="132">
        <f t="shared" si="20"/>
        <v>1.9550536171841517</v>
      </c>
      <c r="AH48" s="132">
        <f t="shared" si="20"/>
        <v>1.9550536171841517</v>
      </c>
      <c r="AI48" s="132">
        <f t="shared" si="20"/>
        <v>1.9550536171841517</v>
      </c>
      <c r="AJ48" s="132">
        <f t="shared" si="20"/>
        <v>1.9550536171841517</v>
      </c>
      <c r="AK48" s="132">
        <f t="shared" si="20"/>
        <v>1.9550536171841517</v>
      </c>
      <c r="AL48" s="132">
        <f t="shared" si="20"/>
        <v>1.9550536171841517</v>
      </c>
      <c r="AM48" s="132">
        <f t="shared" si="20"/>
        <v>1.9550536171841517</v>
      </c>
      <c r="AN48" s="132">
        <f t="shared" si="20"/>
        <v>1.9550536171841517</v>
      </c>
      <c r="AO48" s="132">
        <f t="shared" si="20"/>
        <v>1.9550536171841517</v>
      </c>
      <c r="AP48" s="132">
        <f t="shared" si="20"/>
        <v>1.9550536171841517</v>
      </c>
    </row>
    <row r="49" spans="2:42" x14ac:dyDescent="0.75">
      <c r="B49" s="115" t="s">
        <v>65</v>
      </c>
      <c r="C49" s="115">
        <f>'Benefits Metrics '!G63</f>
        <v>0.1191</v>
      </c>
      <c r="D49" s="85"/>
      <c r="E49" s="85"/>
      <c r="G49" s="92"/>
      <c r="K49" s="138" t="s">
        <v>129</v>
      </c>
      <c r="L49" s="132">
        <f>L42/1000000*$C$51</f>
        <v>0</v>
      </c>
      <c r="M49" s="132">
        <f t="shared" ref="M49" si="21">M42/1000000*$C$51</f>
        <v>0</v>
      </c>
      <c r="N49" s="132">
        <f>N43/1000000*$C$51</f>
        <v>0</v>
      </c>
      <c r="O49" s="132">
        <f t="shared" ref="O49:AP49" si="22">O43/1000000*$C$51</f>
        <v>0</v>
      </c>
      <c r="P49" s="132">
        <f t="shared" si="22"/>
        <v>0</v>
      </c>
      <c r="Q49" s="132">
        <f t="shared" si="22"/>
        <v>0</v>
      </c>
      <c r="R49" s="132">
        <f t="shared" si="22"/>
        <v>0</v>
      </c>
      <c r="S49" s="132">
        <f t="shared" si="22"/>
        <v>39805.53037043479</v>
      </c>
      <c r="T49" s="132">
        <f t="shared" si="22"/>
        <v>49248.380050434789</v>
      </c>
      <c r="U49" s="132">
        <f t="shared" si="22"/>
        <v>53111.364010434787</v>
      </c>
      <c r="V49" s="132">
        <f t="shared" si="22"/>
        <v>57403.568410434782</v>
      </c>
      <c r="W49" s="132">
        <f t="shared" si="22"/>
        <v>61695.772810434784</v>
      </c>
      <c r="X49" s="132">
        <f t="shared" si="22"/>
        <v>65987.977210434779</v>
      </c>
      <c r="Y49" s="132">
        <f t="shared" si="22"/>
        <v>68164.124841234792</v>
      </c>
      <c r="Z49" s="132">
        <f t="shared" si="22"/>
        <v>70362.033948342811</v>
      </c>
      <c r="AA49" s="132">
        <f t="shared" si="22"/>
        <v>72581.922146521872</v>
      </c>
      <c r="AB49" s="132">
        <f t="shared" si="22"/>
        <v>74824.009226682756</v>
      </c>
      <c r="AC49" s="132">
        <f t="shared" si="22"/>
        <v>77088.517177645248</v>
      </c>
      <c r="AD49" s="132">
        <f t="shared" si="22"/>
        <v>79375.670208117372</v>
      </c>
      <c r="AE49" s="132">
        <f t="shared" si="22"/>
        <v>81685.694768894202</v>
      </c>
      <c r="AF49" s="132">
        <f t="shared" si="22"/>
        <v>81685.694768894202</v>
      </c>
      <c r="AG49" s="132">
        <f t="shared" si="22"/>
        <v>81685.694768894202</v>
      </c>
      <c r="AH49" s="132">
        <f t="shared" si="22"/>
        <v>81685.694768894202</v>
      </c>
      <c r="AI49" s="132">
        <f t="shared" si="22"/>
        <v>81685.694768894202</v>
      </c>
      <c r="AJ49" s="132">
        <f t="shared" si="22"/>
        <v>81685.694768894202</v>
      </c>
      <c r="AK49" s="132">
        <f t="shared" si="22"/>
        <v>81685.694768894202</v>
      </c>
      <c r="AL49" s="132">
        <f t="shared" si="22"/>
        <v>81685.694768894202</v>
      </c>
      <c r="AM49" s="132">
        <f t="shared" si="22"/>
        <v>81685.694768894202</v>
      </c>
      <c r="AN49" s="132">
        <f t="shared" si="22"/>
        <v>81685.694768894202</v>
      </c>
      <c r="AO49" s="132">
        <f t="shared" si="22"/>
        <v>81685.694768894202</v>
      </c>
      <c r="AP49" s="132">
        <f t="shared" si="22"/>
        <v>81685.694768894202</v>
      </c>
    </row>
    <row r="50" spans="2:42" x14ac:dyDescent="0.75">
      <c r="B50" s="115" t="s">
        <v>66</v>
      </c>
      <c r="C50" s="115">
        <f>'Benefits Metrics '!G76</f>
        <v>5.4999999999999997E-3</v>
      </c>
      <c r="D50" s="85"/>
      <c r="E50" s="85"/>
      <c r="K50" s="113" t="s">
        <v>130</v>
      </c>
      <c r="L50" s="132">
        <f>L42/1000000*$C$48</f>
        <v>0</v>
      </c>
      <c r="M50" s="132">
        <f t="shared" ref="M50" si="23">M42/1000000*$C$48</f>
        <v>0</v>
      </c>
      <c r="N50" s="132">
        <f>N43/1000000*$C$48</f>
        <v>0</v>
      </c>
      <c r="O50" s="132">
        <f t="shared" ref="O50:AP50" si="24">O43/1000000*$C$48</f>
        <v>0</v>
      </c>
      <c r="P50" s="132">
        <f t="shared" si="24"/>
        <v>0</v>
      </c>
      <c r="Q50" s="132">
        <f t="shared" si="24"/>
        <v>0</v>
      </c>
      <c r="R50" s="132">
        <f t="shared" si="24"/>
        <v>0</v>
      </c>
      <c r="S50" s="132">
        <f t="shared" si="24"/>
        <v>19.053996260869567</v>
      </c>
      <c r="T50" s="132">
        <f t="shared" si="24"/>
        <v>23.574072260869567</v>
      </c>
      <c r="U50" s="132">
        <f t="shared" si="24"/>
        <v>25.423194260869565</v>
      </c>
      <c r="V50" s="132">
        <f t="shared" si="24"/>
        <v>27.477774260869563</v>
      </c>
      <c r="W50" s="132">
        <f t="shared" si="24"/>
        <v>29.532354260869564</v>
      </c>
      <c r="X50" s="132">
        <f t="shared" si="24"/>
        <v>31.586934260869565</v>
      </c>
      <c r="Y50" s="132">
        <f t="shared" si="24"/>
        <v>32.628606320869572</v>
      </c>
      <c r="Z50" s="132">
        <f t="shared" si="24"/>
        <v>33.680695101469574</v>
      </c>
      <c r="AA50" s="132">
        <f t="shared" si="24"/>
        <v>34.743304769875571</v>
      </c>
      <c r="AB50" s="132">
        <f t="shared" si="24"/>
        <v>35.816540534965633</v>
      </c>
      <c r="AC50" s="132">
        <f t="shared" si="24"/>
        <v>36.900508657706602</v>
      </c>
      <c r="AD50" s="132">
        <f t="shared" si="24"/>
        <v>37.995316461674975</v>
      </c>
      <c r="AE50" s="132">
        <f t="shared" si="24"/>
        <v>39.101072343683036</v>
      </c>
      <c r="AF50" s="132">
        <f t="shared" si="24"/>
        <v>39.101072343683036</v>
      </c>
      <c r="AG50" s="132">
        <f t="shared" si="24"/>
        <v>39.101072343683036</v>
      </c>
      <c r="AH50" s="132">
        <f t="shared" si="24"/>
        <v>39.101072343683036</v>
      </c>
      <c r="AI50" s="132">
        <f t="shared" si="24"/>
        <v>39.101072343683036</v>
      </c>
      <c r="AJ50" s="132">
        <f t="shared" si="24"/>
        <v>39.101072343683036</v>
      </c>
      <c r="AK50" s="132">
        <f t="shared" si="24"/>
        <v>39.101072343683036</v>
      </c>
      <c r="AL50" s="132">
        <f t="shared" si="24"/>
        <v>39.101072343683036</v>
      </c>
      <c r="AM50" s="132">
        <f t="shared" si="24"/>
        <v>39.101072343683036</v>
      </c>
      <c r="AN50" s="132">
        <f t="shared" si="24"/>
        <v>39.101072343683036</v>
      </c>
      <c r="AO50" s="132">
        <f t="shared" si="24"/>
        <v>39.101072343683036</v>
      </c>
      <c r="AP50" s="132">
        <f t="shared" si="24"/>
        <v>39.101072343683036</v>
      </c>
    </row>
    <row r="51" spans="2:42" x14ac:dyDescent="0.75">
      <c r="B51" s="115" t="s">
        <v>128</v>
      </c>
      <c r="C51" s="115">
        <f>'Benefits Metrics '!G73</f>
        <v>229.8</v>
      </c>
      <c r="D51" s="85"/>
      <c r="E51" s="85"/>
      <c r="G51" s="92"/>
    </row>
    <row r="52" spans="2:42" x14ac:dyDescent="0.75">
      <c r="D52" s="60"/>
      <c r="E52" s="60"/>
    </row>
    <row r="53" spans="2:42" x14ac:dyDescent="0.75">
      <c r="B53" s="117" t="s">
        <v>58</v>
      </c>
      <c r="C53" s="117" t="s">
        <v>203</v>
      </c>
      <c r="D53" s="88"/>
      <c r="E53" s="60"/>
      <c r="I53" s="60"/>
      <c r="K53" s="113" t="s">
        <v>214</v>
      </c>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row>
    <row r="54" spans="2:42" x14ac:dyDescent="0.75">
      <c r="B54" s="115" t="s">
        <v>60</v>
      </c>
      <c r="C54" s="120">
        <f>'Benefits Metrics '!I78</f>
        <v>0</v>
      </c>
      <c r="D54" s="85"/>
      <c r="E54" s="60"/>
      <c r="I54" s="60"/>
      <c r="K54" s="281" t="s">
        <v>168</v>
      </c>
      <c r="L54" s="293">
        <v>0</v>
      </c>
      <c r="M54" s="293">
        <f>L66*M46/1.1015</f>
        <v>0</v>
      </c>
      <c r="N54" s="293">
        <f t="shared" ref="N54:AP54" si="25">M66*N46/1.1015</f>
        <v>0</v>
      </c>
      <c r="O54" s="293">
        <f t="shared" si="25"/>
        <v>0</v>
      </c>
      <c r="P54" s="293">
        <f t="shared" si="25"/>
        <v>0</v>
      </c>
      <c r="Q54" s="293">
        <f t="shared" si="25"/>
        <v>0</v>
      </c>
      <c r="R54" s="293">
        <f t="shared" si="25"/>
        <v>0</v>
      </c>
      <c r="S54" s="293">
        <f t="shared" si="25"/>
        <v>15254983.391064754</v>
      </c>
      <c r="T54" s="293">
        <f t="shared" si="25"/>
        <v>19172762.909977622</v>
      </c>
      <c r="U54" s="293">
        <f t="shared" si="25"/>
        <v>21006518.285778206</v>
      </c>
      <c r="V54" s="293">
        <f t="shared" si="25"/>
        <v>23066090.776684757</v>
      </c>
      <c r="W54" s="293">
        <f t="shared" si="25"/>
        <v>25185593.391710434</v>
      </c>
      <c r="X54" s="293">
        <f t="shared" si="25"/>
        <v>26937767.160643712</v>
      </c>
      <c r="Y54" s="293">
        <f t="shared" si="25"/>
        <v>27826119.261492878</v>
      </c>
      <c r="Z54" s="293">
        <f t="shared" si="25"/>
        <v>28723354.883350544</v>
      </c>
      <c r="AA54" s="293">
        <f t="shared" si="25"/>
        <v>29629562.861426782</v>
      </c>
      <c r="AB54" s="293">
        <f t="shared" si="25"/>
        <v>30544832.919283785</v>
      </c>
      <c r="AC54" s="293">
        <f t="shared" si="25"/>
        <v>31469255.677719355</v>
      </c>
      <c r="AD54" s="293">
        <f t="shared" si="25"/>
        <v>32402922.66373929</v>
      </c>
      <c r="AE54" s="293">
        <f t="shared" si="25"/>
        <v>33345926.319619417</v>
      </c>
      <c r="AF54" s="293">
        <f t="shared" si="25"/>
        <v>33345926.319619417</v>
      </c>
      <c r="AG54" s="293">
        <f t="shared" si="25"/>
        <v>33345926.319619417</v>
      </c>
      <c r="AH54" s="293">
        <f t="shared" si="25"/>
        <v>33345926.319619417</v>
      </c>
      <c r="AI54" s="293">
        <f t="shared" si="25"/>
        <v>33345926.319619417</v>
      </c>
      <c r="AJ54" s="293">
        <f t="shared" si="25"/>
        <v>33345926.319619417</v>
      </c>
      <c r="AK54" s="293">
        <f t="shared" si="25"/>
        <v>33345926.319619417</v>
      </c>
      <c r="AL54" s="293">
        <f t="shared" si="25"/>
        <v>33345926.319619417</v>
      </c>
      <c r="AM54" s="293">
        <f t="shared" si="25"/>
        <v>33345926.319619417</v>
      </c>
      <c r="AN54" s="293">
        <f t="shared" si="25"/>
        <v>33345926.319619417</v>
      </c>
      <c r="AO54" s="293">
        <f t="shared" si="25"/>
        <v>33345926.319619417</v>
      </c>
      <c r="AP54" s="293">
        <f t="shared" si="25"/>
        <v>33345926.319619417</v>
      </c>
    </row>
    <row r="55" spans="2:42" x14ac:dyDescent="0.75">
      <c r="B55" s="115" t="s">
        <v>64</v>
      </c>
      <c r="C55" s="120">
        <f>'Benefits Metrics '!I79</f>
        <v>0</v>
      </c>
      <c r="D55" s="85"/>
      <c r="E55" s="60"/>
      <c r="K55" s="294" t="s">
        <v>60</v>
      </c>
      <c r="L55" s="295">
        <v>0</v>
      </c>
      <c r="M55" s="295">
        <f>L64*M47/1.1015</f>
        <v>0</v>
      </c>
      <c r="N55" s="295">
        <f t="shared" ref="N55:AP55" si="26">M64*N47/1.1015</f>
        <v>0</v>
      </c>
      <c r="O55" s="295">
        <f t="shared" si="26"/>
        <v>0</v>
      </c>
      <c r="P55" s="295">
        <f t="shared" si="26"/>
        <v>0</v>
      </c>
      <c r="Q55" s="295">
        <f t="shared" si="26"/>
        <v>0</v>
      </c>
      <c r="R55" s="295">
        <f t="shared" si="26"/>
        <v>0</v>
      </c>
      <c r="S55" s="295">
        <f t="shared" si="26"/>
        <v>7976721.6547307447</v>
      </c>
      <c r="T55" s="295">
        <f t="shared" si="26"/>
        <v>10045228.061328467</v>
      </c>
      <c r="U55" s="295">
        <f t="shared" si="26"/>
        <v>11023219.225965224</v>
      </c>
      <c r="V55" s="295">
        <f t="shared" si="26"/>
        <v>12119477.53656113</v>
      </c>
      <c r="W55" s="295">
        <f t="shared" si="26"/>
        <v>13320046.000735914</v>
      </c>
      <c r="X55" s="295">
        <f t="shared" si="26"/>
        <v>14246727.966909314</v>
      </c>
      <c r="Y55" s="295">
        <f t="shared" si="26"/>
        <v>14716555.72375923</v>
      </c>
      <c r="Z55" s="295">
        <f t="shared" si="26"/>
        <v>15191081.758177646</v>
      </c>
      <c r="AA55" s="295">
        <f t="shared" si="26"/>
        <v>15670353.05294024</v>
      </c>
      <c r="AB55" s="295">
        <f t="shared" si="26"/>
        <v>16154417.060650464</v>
      </c>
      <c r="AC55" s="295">
        <f t="shared" si="26"/>
        <v>16643321.708437793</v>
      </c>
      <c r="AD55" s="295">
        <f t="shared" si="26"/>
        <v>17137115.402702991</v>
      </c>
      <c r="AE55" s="295">
        <f t="shared" si="26"/>
        <v>17635847.033910848</v>
      </c>
      <c r="AF55" s="295">
        <f t="shared" si="26"/>
        <v>17635847.033910848</v>
      </c>
      <c r="AG55" s="295">
        <f t="shared" si="26"/>
        <v>17635847.033910848</v>
      </c>
      <c r="AH55" s="295">
        <f t="shared" si="26"/>
        <v>17635847.033910848</v>
      </c>
      <c r="AI55" s="295">
        <f t="shared" si="26"/>
        <v>17635847.033910848</v>
      </c>
      <c r="AJ55" s="295">
        <f t="shared" si="26"/>
        <v>17635847.033910848</v>
      </c>
      <c r="AK55" s="295">
        <f t="shared" si="26"/>
        <v>17635847.033910848</v>
      </c>
      <c r="AL55" s="295">
        <f t="shared" si="26"/>
        <v>17635847.033910848</v>
      </c>
      <c r="AM55" s="295">
        <f t="shared" si="26"/>
        <v>17635847.033910848</v>
      </c>
      <c r="AN55" s="295">
        <f t="shared" si="26"/>
        <v>17635847.033910848</v>
      </c>
      <c r="AO55" s="295">
        <f t="shared" si="26"/>
        <v>17635847.033910848</v>
      </c>
      <c r="AP55" s="295">
        <f t="shared" si="26"/>
        <v>17635847.033910848</v>
      </c>
    </row>
    <row r="56" spans="2:42" ht="15.5" thickBot="1" x14ac:dyDescent="0.9">
      <c r="B56" s="115" t="s">
        <v>65</v>
      </c>
      <c r="C56" s="120">
        <f>'Benefits Metrics '!I80</f>
        <v>0</v>
      </c>
      <c r="D56" s="85"/>
      <c r="E56" s="60"/>
      <c r="K56" s="184" t="s">
        <v>114</v>
      </c>
      <c r="L56" s="296">
        <v>0</v>
      </c>
      <c r="M56" s="296">
        <f>L65*M48/1.1015</f>
        <v>0</v>
      </c>
      <c r="N56" s="296">
        <f t="shared" ref="N56:AP56" si="27">M65*N48/1.1015</f>
        <v>0</v>
      </c>
      <c r="O56" s="296">
        <f t="shared" si="27"/>
        <v>0</v>
      </c>
      <c r="P56" s="296">
        <f t="shared" si="27"/>
        <v>0</v>
      </c>
      <c r="Q56" s="296">
        <f t="shared" si="27"/>
        <v>0</v>
      </c>
      <c r="R56" s="296">
        <f t="shared" si="27"/>
        <v>0</v>
      </c>
      <c r="S56" s="296">
        <f t="shared" si="27"/>
        <v>39526.447077700373</v>
      </c>
      <c r="T56" s="296">
        <f t="shared" si="27"/>
        <v>49759.162965521326</v>
      </c>
      <c r="U56" s="296">
        <f t="shared" si="27"/>
        <v>54585.432979533834</v>
      </c>
      <c r="V56" s="296">
        <f t="shared" si="27"/>
        <v>60119.324529001955</v>
      </c>
      <c r="W56" s="296">
        <f t="shared" si="27"/>
        <v>65821.089160630756</v>
      </c>
      <c r="X56" s="296">
        <f t="shared" si="27"/>
        <v>70400.293790680691</v>
      </c>
      <c r="Y56" s="296">
        <f t="shared" si="27"/>
        <v>72721.950538116027</v>
      </c>
      <c r="Z56" s="296">
        <f t="shared" si="27"/>
        <v>75066.823853025693</v>
      </c>
      <c r="AA56" s="296">
        <f t="shared" si="27"/>
        <v>77435.145901084456</v>
      </c>
      <c r="AB56" s="296">
        <f t="shared" si="27"/>
        <v>79827.151169623801</v>
      </c>
      <c r="AC56" s="296">
        <f t="shared" si="27"/>
        <v>82243.076490848573</v>
      </c>
      <c r="AD56" s="296">
        <f t="shared" si="27"/>
        <v>84683.161065285574</v>
      </c>
      <c r="AE56" s="296">
        <f t="shared" si="27"/>
        <v>87147.646485466961</v>
      </c>
      <c r="AF56" s="296">
        <f t="shared" si="27"/>
        <v>87147.646485466961</v>
      </c>
      <c r="AG56" s="296">
        <f t="shared" si="27"/>
        <v>87147.646485466961</v>
      </c>
      <c r="AH56" s="296">
        <f t="shared" si="27"/>
        <v>87147.646485466961</v>
      </c>
      <c r="AI56" s="296">
        <f t="shared" si="27"/>
        <v>87147.646485466961</v>
      </c>
      <c r="AJ56" s="296">
        <f t="shared" si="27"/>
        <v>87147.646485466961</v>
      </c>
      <c r="AK56" s="296">
        <f t="shared" si="27"/>
        <v>87147.646485466961</v>
      </c>
      <c r="AL56" s="296">
        <f t="shared" si="27"/>
        <v>87147.646485466961</v>
      </c>
      <c r="AM56" s="296">
        <f t="shared" si="27"/>
        <v>87147.646485466961</v>
      </c>
      <c r="AN56" s="296">
        <f t="shared" si="27"/>
        <v>87147.646485466961</v>
      </c>
      <c r="AO56" s="296">
        <f t="shared" si="27"/>
        <v>87147.646485466961</v>
      </c>
      <c r="AP56" s="296">
        <f t="shared" si="27"/>
        <v>87147.646485466961</v>
      </c>
    </row>
    <row r="57" spans="2:42" ht="45" thickBot="1" x14ac:dyDescent="0.9">
      <c r="B57" s="115" t="s">
        <v>66</v>
      </c>
      <c r="C57" s="120">
        <f>'Benefits Metrics '!I81</f>
        <v>0</v>
      </c>
      <c r="D57" s="85"/>
      <c r="E57" s="60"/>
      <c r="I57" s="121"/>
      <c r="J57" s="225" t="s">
        <v>230</v>
      </c>
      <c r="K57" s="297"/>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39"/>
      <c r="AK57" s="139"/>
      <c r="AL57" s="139"/>
      <c r="AM57" s="139"/>
      <c r="AN57" s="139"/>
      <c r="AO57" s="139"/>
      <c r="AP57" s="139"/>
    </row>
    <row r="58" spans="2:42" x14ac:dyDescent="0.75">
      <c r="B58" s="116" t="s">
        <v>157</v>
      </c>
      <c r="C58" s="120">
        <v>1</v>
      </c>
      <c r="D58" s="85"/>
      <c r="E58" s="60"/>
      <c r="K58" s="141" t="s">
        <v>61</v>
      </c>
      <c r="L58" s="140">
        <v>0</v>
      </c>
      <c r="M58" s="140">
        <f>L67*M49/1.1015</f>
        <v>0</v>
      </c>
      <c r="N58" s="140">
        <f t="shared" ref="N58:AP58" si="28">M67*N49/1.1015</f>
        <v>0</v>
      </c>
      <c r="O58" s="140">
        <f t="shared" si="28"/>
        <v>0</v>
      </c>
      <c r="P58" s="140">
        <f t="shared" si="28"/>
        <v>0</v>
      </c>
      <c r="Q58" s="140">
        <f t="shared" si="28"/>
        <v>0</v>
      </c>
      <c r="R58" s="140">
        <f t="shared" si="28"/>
        <v>0</v>
      </c>
      <c r="S58" s="140">
        <f t="shared" si="28"/>
        <v>2059841.3355558629</v>
      </c>
      <c r="T58" s="140">
        <f t="shared" si="28"/>
        <v>2593196.5891286591</v>
      </c>
      <c r="U58" s="140">
        <f t="shared" si="28"/>
        <v>2893038.4390613595</v>
      </c>
      <c r="V58" s="140">
        <f t="shared" si="28"/>
        <v>3178953.8565923939</v>
      </c>
      <c r="W58" s="140">
        <f t="shared" si="28"/>
        <v>3472662.6547861616</v>
      </c>
      <c r="X58" s="140">
        <f t="shared" si="28"/>
        <v>3774164.8336426616</v>
      </c>
      <c r="Y58" s="140">
        <f t="shared" si="28"/>
        <v>3960512.0198266245</v>
      </c>
      <c r="Z58" s="140">
        <f t="shared" si="28"/>
        <v>4152094.6043052957</v>
      </c>
      <c r="AA58" s="140">
        <f t="shared" si="28"/>
        <v>4348984.8948437981</v>
      </c>
      <c r="AB58" s="140">
        <f t="shared" si="28"/>
        <v>4551256.1218227372</v>
      </c>
      <c r="AC58" s="140">
        <f t="shared" si="28"/>
        <v>4828967.485481183</v>
      </c>
      <c r="AD58" s="140">
        <f t="shared" si="28"/>
        <v>5044300.4217596147</v>
      </c>
      <c r="AE58" s="140">
        <f t="shared" si="28"/>
        <v>5265260.3981765667</v>
      </c>
      <c r="AF58" s="140">
        <f t="shared" si="28"/>
        <v>5339418.9953339836</v>
      </c>
      <c r="AG58" s="140">
        <f t="shared" si="28"/>
        <v>5413577.5924913995</v>
      </c>
      <c r="AH58" s="140">
        <f t="shared" si="28"/>
        <v>5487736.1896488164</v>
      </c>
      <c r="AI58" s="140">
        <f t="shared" si="28"/>
        <v>5561894.7868062332</v>
      </c>
      <c r="AJ58" s="140">
        <f t="shared" si="28"/>
        <v>5710211.9811210651</v>
      </c>
      <c r="AK58" s="140">
        <f t="shared" si="28"/>
        <v>5784370.578278482</v>
      </c>
      <c r="AL58" s="140">
        <f t="shared" si="28"/>
        <v>5858529.1754358988</v>
      </c>
      <c r="AM58" s="140">
        <f t="shared" si="28"/>
        <v>5932687.7725933157</v>
      </c>
      <c r="AN58" s="140">
        <f t="shared" si="28"/>
        <v>6006846.3697507316</v>
      </c>
      <c r="AO58" s="140">
        <f t="shared" si="28"/>
        <v>6081004.9669081485</v>
      </c>
      <c r="AP58" s="140">
        <f t="shared" si="28"/>
        <v>6155163.5640655644</v>
      </c>
    </row>
    <row r="59" spans="2:42" x14ac:dyDescent="0.75">
      <c r="B59" s="85"/>
      <c r="C59" s="85"/>
      <c r="D59" s="85"/>
      <c r="E59" s="85"/>
      <c r="F59" s="85"/>
      <c r="K59" s="113" t="s">
        <v>130</v>
      </c>
      <c r="L59" s="120">
        <v>0</v>
      </c>
      <c r="M59" s="142">
        <f t="shared" ref="M59:AP59" si="29">M50*$C$55</f>
        <v>0</v>
      </c>
      <c r="N59" s="142">
        <f t="shared" si="29"/>
        <v>0</v>
      </c>
      <c r="O59" s="120">
        <f>O50*$C$55</f>
        <v>0</v>
      </c>
      <c r="P59" s="120">
        <f t="shared" si="29"/>
        <v>0</v>
      </c>
      <c r="Q59" s="120">
        <f t="shared" si="29"/>
        <v>0</v>
      </c>
      <c r="R59" s="120">
        <f t="shared" si="29"/>
        <v>0</v>
      </c>
      <c r="S59" s="120">
        <f t="shared" si="29"/>
        <v>0</v>
      </c>
      <c r="T59" s="120">
        <f t="shared" si="29"/>
        <v>0</v>
      </c>
      <c r="U59" s="120">
        <f t="shared" si="29"/>
        <v>0</v>
      </c>
      <c r="V59" s="120">
        <f t="shared" si="29"/>
        <v>0</v>
      </c>
      <c r="W59" s="120">
        <f t="shared" si="29"/>
        <v>0</v>
      </c>
      <c r="X59" s="120">
        <f t="shared" si="29"/>
        <v>0</v>
      </c>
      <c r="Y59" s="120">
        <f t="shared" si="29"/>
        <v>0</v>
      </c>
      <c r="Z59" s="120">
        <f t="shared" si="29"/>
        <v>0</v>
      </c>
      <c r="AA59" s="120">
        <f t="shared" si="29"/>
        <v>0</v>
      </c>
      <c r="AB59" s="120">
        <f t="shared" si="29"/>
        <v>0</v>
      </c>
      <c r="AC59" s="120">
        <f t="shared" si="29"/>
        <v>0</v>
      </c>
      <c r="AD59" s="120">
        <f t="shared" si="29"/>
        <v>0</v>
      </c>
      <c r="AE59" s="120">
        <f t="shared" si="29"/>
        <v>0</v>
      </c>
      <c r="AF59" s="120">
        <f t="shared" si="29"/>
        <v>0</v>
      </c>
      <c r="AG59" s="120">
        <f t="shared" si="29"/>
        <v>0</v>
      </c>
      <c r="AH59" s="120">
        <f t="shared" si="29"/>
        <v>0</v>
      </c>
      <c r="AI59" s="120">
        <f t="shared" si="29"/>
        <v>0</v>
      </c>
      <c r="AJ59" s="120">
        <f t="shared" si="29"/>
        <v>0</v>
      </c>
      <c r="AK59" s="120">
        <f t="shared" si="29"/>
        <v>0</v>
      </c>
      <c r="AL59" s="120">
        <f t="shared" si="29"/>
        <v>0</v>
      </c>
      <c r="AM59" s="120">
        <f t="shared" si="29"/>
        <v>0</v>
      </c>
      <c r="AN59" s="120">
        <f t="shared" si="29"/>
        <v>0</v>
      </c>
      <c r="AO59" s="120">
        <f t="shared" si="29"/>
        <v>0</v>
      </c>
      <c r="AP59" s="120">
        <f t="shared" si="29"/>
        <v>0</v>
      </c>
    </row>
    <row r="60" spans="2:42" x14ac:dyDescent="0.75">
      <c r="B60" s="88"/>
      <c r="C60" s="90"/>
      <c r="D60" s="85"/>
      <c r="E60" s="85"/>
      <c r="F60" s="85"/>
      <c r="K60" s="143" t="s">
        <v>215</v>
      </c>
      <c r="L60" s="142">
        <v>0</v>
      </c>
      <c r="M60" s="142">
        <f t="shared" ref="M60:AP60" si="30">M56+M55+M54+M59</f>
        <v>0</v>
      </c>
      <c r="N60" s="142">
        <f t="shared" si="30"/>
        <v>0</v>
      </c>
      <c r="O60" s="142">
        <f t="shared" si="30"/>
        <v>0</v>
      </c>
      <c r="P60" s="142">
        <f t="shared" si="30"/>
        <v>0</v>
      </c>
      <c r="Q60" s="142">
        <f t="shared" si="30"/>
        <v>0</v>
      </c>
      <c r="R60" s="142">
        <f t="shared" si="30"/>
        <v>0</v>
      </c>
      <c r="S60" s="142">
        <f t="shared" si="30"/>
        <v>23271231.492873199</v>
      </c>
      <c r="T60" s="142">
        <f t="shared" si="30"/>
        <v>29267750.134271611</v>
      </c>
      <c r="U60" s="142">
        <f t="shared" si="30"/>
        <v>32084322.944722965</v>
      </c>
      <c r="V60" s="142">
        <f t="shared" si="30"/>
        <v>35245687.637774885</v>
      </c>
      <c r="W60" s="142">
        <f t="shared" si="30"/>
        <v>38571460.481606975</v>
      </c>
      <c r="X60" s="142">
        <f t="shared" si="30"/>
        <v>41254895.421343707</v>
      </c>
      <c r="Y60" s="142">
        <f t="shared" si="30"/>
        <v>42615396.935790226</v>
      </c>
      <c r="Z60" s="142">
        <f t="shared" si="30"/>
        <v>43989503.465381213</v>
      </c>
      <c r="AA60" s="142">
        <f t="shared" si="30"/>
        <v>45377351.060268104</v>
      </c>
      <c r="AB60" s="142">
        <f t="shared" si="30"/>
        <v>46779077.131103873</v>
      </c>
      <c r="AC60" s="142">
        <f t="shared" si="30"/>
        <v>48194820.462647997</v>
      </c>
      <c r="AD60" s="142">
        <f t="shared" si="30"/>
        <v>49624721.227507561</v>
      </c>
      <c r="AE60" s="142">
        <f t="shared" si="30"/>
        <v>51068921.000015736</v>
      </c>
      <c r="AF60" s="142">
        <f t="shared" si="30"/>
        <v>51068921.000015736</v>
      </c>
      <c r="AG60" s="142">
        <f t="shared" si="30"/>
        <v>51068921.000015736</v>
      </c>
      <c r="AH60" s="142">
        <f t="shared" si="30"/>
        <v>51068921.000015736</v>
      </c>
      <c r="AI60" s="142">
        <f t="shared" si="30"/>
        <v>51068921.000015736</v>
      </c>
      <c r="AJ60" s="142">
        <f t="shared" si="30"/>
        <v>51068921.000015736</v>
      </c>
      <c r="AK60" s="142">
        <f t="shared" si="30"/>
        <v>51068921.000015736</v>
      </c>
      <c r="AL60" s="142">
        <f t="shared" si="30"/>
        <v>51068921.000015736</v>
      </c>
      <c r="AM60" s="142">
        <f t="shared" si="30"/>
        <v>51068921.000015736</v>
      </c>
      <c r="AN60" s="142">
        <f t="shared" si="30"/>
        <v>51068921.000015736</v>
      </c>
      <c r="AO60" s="142">
        <f t="shared" si="30"/>
        <v>51068921.000015736</v>
      </c>
      <c r="AP60" s="142">
        <f t="shared" si="30"/>
        <v>51068921.000015736</v>
      </c>
    </row>
    <row r="61" spans="2:42" x14ac:dyDescent="0.75">
      <c r="B61" s="85"/>
      <c r="C61" s="85"/>
      <c r="D61" s="85"/>
      <c r="E61" s="85"/>
      <c r="F61" s="85"/>
      <c r="L61" s="68"/>
      <c r="M61" s="86"/>
      <c r="N61" s="86"/>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row>
    <row r="62" spans="2:42" x14ac:dyDescent="0.75">
      <c r="B62" s="85"/>
      <c r="C62" s="85"/>
      <c r="D62" s="85"/>
      <c r="E62" s="85"/>
      <c r="F62" s="85"/>
      <c r="K62" t="s">
        <v>216</v>
      </c>
      <c r="L62" s="63"/>
      <c r="M62" s="86"/>
      <c r="N62" s="86"/>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row>
    <row r="63" spans="2:42" x14ac:dyDescent="0.75">
      <c r="B63" s="85"/>
      <c r="C63" s="36"/>
      <c r="D63" s="85"/>
      <c r="E63" s="85"/>
      <c r="F63" s="85"/>
      <c r="K63" t="s" cm="1">
        <v>205</v>
      </c>
      <c r="L63">
        <v>2020</v>
      </c>
      <c r="M63" s="67">
        <v>2021</v>
      </c>
      <c r="N63" s="67">
        <v>2022</v>
      </c>
      <c r="O63">
        <v>2023</v>
      </c>
      <c r="P63">
        <v>2024</v>
      </c>
      <c r="Q63">
        <v>2025</v>
      </c>
      <c r="R63">
        <v>2026</v>
      </c>
      <c r="S63">
        <v>2027</v>
      </c>
      <c r="T63">
        <v>2028</v>
      </c>
      <c r="U63">
        <v>2029</v>
      </c>
      <c r="V63">
        <v>2030</v>
      </c>
      <c r="W63">
        <v>2031</v>
      </c>
      <c r="X63">
        <v>2032</v>
      </c>
      <c r="Y63">
        <v>2033</v>
      </c>
      <c r="Z63">
        <v>2034</v>
      </c>
      <c r="AA63">
        <v>2035</v>
      </c>
      <c r="AB63">
        <v>2036</v>
      </c>
      <c r="AC63">
        <v>2037</v>
      </c>
      <c r="AD63">
        <v>2038</v>
      </c>
      <c r="AE63">
        <v>2039</v>
      </c>
      <c r="AF63">
        <v>2040</v>
      </c>
      <c r="AG63">
        <v>2041</v>
      </c>
      <c r="AH63">
        <v>2042</v>
      </c>
      <c r="AI63">
        <v>2043</v>
      </c>
      <c r="AJ63">
        <v>2044</v>
      </c>
      <c r="AK63">
        <v>2045</v>
      </c>
      <c r="AL63">
        <v>2046</v>
      </c>
      <c r="AM63">
        <v>2047</v>
      </c>
      <c r="AN63">
        <v>2048</v>
      </c>
      <c r="AO63">
        <v>2049</v>
      </c>
      <c r="AP63">
        <v>2050</v>
      </c>
    </row>
    <row r="64" spans="2:42" x14ac:dyDescent="0.75">
      <c r="B64" s="85"/>
      <c r="C64" s="85"/>
      <c r="D64" s="85"/>
      <c r="E64" s="85"/>
      <c r="F64" s="85"/>
      <c r="K64" s="298" t="s">
        <v>206</v>
      </c>
      <c r="L64" s="299">
        <f>'Benefits Metrics '!Q78</f>
        <v>15700</v>
      </c>
      <c r="M64" s="300">
        <f>'Benefits Metrics '!R78</f>
        <v>15600</v>
      </c>
      <c r="N64" s="300">
        <f>'Benefits Metrics '!S78</f>
        <v>15800</v>
      </c>
      <c r="O64" s="299">
        <f>'Benefits Metrics '!T78</f>
        <v>16000</v>
      </c>
      <c r="P64" s="299">
        <f>'Benefits Metrics '!U78</f>
        <v>16200</v>
      </c>
      <c r="Q64" s="299">
        <f>'Benefits Metrics '!V78</f>
        <v>16500</v>
      </c>
      <c r="R64" s="299">
        <f>'Benefits Metrics '!W78</f>
        <v>16800</v>
      </c>
      <c r="S64" s="299">
        <f>'Benefits Metrics '!X78</f>
        <v>17100</v>
      </c>
      <c r="T64" s="299">
        <f>'Benefits Metrics '!Y78</f>
        <v>17400</v>
      </c>
      <c r="U64" s="299">
        <f>'Benefits Metrics '!Z78</f>
        <v>17700</v>
      </c>
      <c r="V64" s="299">
        <f>'Benefits Metrics '!AA78</f>
        <v>18100</v>
      </c>
      <c r="W64" s="299">
        <f>'Benefits Metrics '!AB78</f>
        <v>18100</v>
      </c>
      <c r="X64" s="299">
        <f>'Benefits Metrics '!AC78</f>
        <v>18100</v>
      </c>
      <c r="Y64" s="299">
        <f>'Benefits Metrics '!AD78</f>
        <v>18100</v>
      </c>
      <c r="Z64" s="299">
        <f>'Benefits Metrics '!AE78</f>
        <v>18100</v>
      </c>
      <c r="AA64" s="299">
        <f>'Benefits Metrics '!AF78</f>
        <v>18100</v>
      </c>
      <c r="AB64" s="299">
        <f>'Benefits Metrics '!AG78</f>
        <v>18100</v>
      </c>
      <c r="AC64" s="299">
        <f>'Benefits Metrics '!AH78</f>
        <v>18100</v>
      </c>
      <c r="AD64" s="299">
        <f>'Benefits Metrics '!AI78</f>
        <v>18100</v>
      </c>
      <c r="AE64" s="299">
        <f>'Benefits Metrics '!AJ78</f>
        <v>18100</v>
      </c>
      <c r="AF64" s="299">
        <f>'Benefits Metrics '!AK78</f>
        <v>18100</v>
      </c>
      <c r="AG64" s="299">
        <f>'Benefits Metrics '!AL78</f>
        <v>18100</v>
      </c>
      <c r="AH64" s="299">
        <f>'Benefits Metrics '!AM78</f>
        <v>18100</v>
      </c>
      <c r="AI64" s="299">
        <f>'Benefits Metrics '!AN78</f>
        <v>18100</v>
      </c>
      <c r="AJ64" s="299">
        <f>'Benefits Metrics '!AO78</f>
        <v>18100</v>
      </c>
      <c r="AK64" s="299">
        <f>'Benefits Metrics '!AP78</f>
        <v>18100</v>
      </c>
      <c r="AL64" s="299">
        <f>'Benefits Metrics '!AQ78</f>
        <v>18100</v>
      </c>
      <c r="AM64" s="299">
        <f>'Benefits Metrics '!AR78</f>
        <v>18100</v>
      </c>
      <c r="AN64" s="299">
        <f>'Benefits Metrics '!AS78</f>
        <v>18100</v>
      </c>
      <c r="AO64" s="299">
        <f>'Benefits Metrics '!AT78</f>
        <v>18100</v>
      </c>
      <c r="AP64" s="299">
        <f>'Benefits Metrics '!AU78</f>
        <v>18100</v>
      </c>
    </row>
    <row r="65" spans="2:42" x14ac:dyDescent="0.75">
      <c r="B65" s="60"/>
      <c r="C65" s="60"/>
      <c r="D65" s="60"/>
      <c r="E65" s="60"/>
      <c r="K65" s="301" t="s">
        <v>207</v>
      </c>
      <c r="L65" s="302">
        <f>'Benefits Metrics '!Q79</f>
        <v>40400</v>
      </c>
      <c r="M65" s="303">
        <f>'Benefits Metrics '!R79</f>
        <v>41500</v>
      </c>
      <c r="N65" s="303">
        <f>'Benefits Metrics '!S79</f>
        <v>42300</v>
      </c>
      <c r="O65" s="302">
        <f>'Benefits Metrics '!T79</f>
        <v>43100</v>
      </c>
      <c r="P65" s="302">
        <f>'Benefits Metrics '!U79</f>
        <v>44000</v>
      </c>
      <c r="Q65" s="302">
        <f>'Benefits Metrics '!V79</f>
        <v>44900</v>
      </c>
      <c r="R65" s="302">
        <f>'Benefits Metrics '!W79</f>
        <v>45700</v>
      </c>
      <c r="S65" s="302">
        <f>'Benefits Metrics '!X79</f>
        <v>46500</v>
      </c>
      <c r="T65" s="302">
        <f>'Benefits Metrics '!Y79</f>
        <v>47300</v>
      </c>
      <c r="U65" s="302">
        <f>'Benefits Metrics '!Z79</f>
        <v>48200</v>
      </c>
      <c r="V65" s="302">
        <f>'Benefits Metrics '!AA79</f>
        <v>49100</v>
      </c>
      <c r="W65" s="302">
        <f>'Benefits Metrics '!AB79</f>
        <v>49100</v>
      </c>
      <c r="X65" s="302">
        <f>'Benefits Metrics '!AC79</f>
        <v>49100</v>
      </c>
      <c r="Y65" s="302">
        <f>'Benefits Metrics '!AD79</f>
        <v>49100</v>
      </c>
      <c r="Z65" s="302">
        <f>'Benefits Metrics '!AE79</f>
        <v>49100</v>
      </c>
      <c r="AA65" s="302">
        <f>'Benefits Metrics '!AF79</f>
        <v>49100</v>
      </c>
      <c r="AB65" s="302">
        <f>'Benefits Metrics '!AG79</f>
        <v>49100</v>
      </c>
      <c r="AC65" s="302">
        <f>'Benefits Metrics '!AH79</f>
        <v>49100</v>
      </c>
      <c r="AD65" s="302">
        <f>'Benefits Metrics '!AI79</f>
        <v>49100</v>
      </c>
      <c r="AE65" s="302">
        <f>'Benefits Metrics '!AJ79</f>
        <v>49100</v>
      </c>
      <c r="AF65" s="302">
        <f>'Benefits Metrics '!AK79</f>
        <v>49100</v>
      </c>
      <c r="AG65" s="302">
        <f>'Benefits Metrics '!AL79</f>
        <v>49100</v>
      </c>
      <c r="AH65" s="302">
        <f>'Benefits Metrics '!AM79</f>
        <v>49100</v>
      </c>
      <c r="AI65" s="302">
        <f>'Benefits Metrics '!AN79</f>
        <v>49100</v>
      </c>
      <c r="AJ65" s="302">
        <f>'Benefits Metrics '!AO79</f>
        <v>49100</v>
      </c>
      <c r="AK65" s="302">
        <f>'Benefits Metrics '!AP79</f>
        <v>49100</v>
      </c>
      <c r="AL65" s="302">
        <f>'Benefits Metrics '!AQ79</f>
        <v>49100</v>
      </c>
      <c r="AM65" s="302">
        <f>'Benefits Metrics '!AR79</f>
        <v>49100</v>
      </c>
      <c r="AN65" s="302">
        <f>'Benefits Metrics '!AS79</f>
        <v>49100</v>
      </c>
      <c r="AO65" s="302">
        <f>'Benefits Metrics '!AT79</f>
        <v>49100</v>
      </c>
      <c r="AP65" s="302">
        <f>'Benefits Metrics '!AU79</f>
        <v>49100</v>
      </c>
    </row>
    <row r="66" spans="2:42" x14ac:dyDescent="0.75">
      <c r="B66" s="60"/>
      <c r="C66" s="60"/>
      <c r="D66" s="60"/>
      <c r="E66" s="60"/>
      <c r="K66" s="304" t="s">
        <v>208</v>
      </c>
      <c r="L66" s="305">
        <f>'Benefits Metrics '!Q80</f>
        <v>729300</v>
      </c>
      <c r="M66" s="306">
        <f>'Benefits Metrics '!R80</f>
        <v>748600</v>
      </c>
      <c r="N66" s="306">
        <f>'Benefits Metrics '!S80</f>
        <v>761600</v>
      </c>
      <c r="O66" s="305">
        <f>'Benefits Metrics '!T80</f>
        <v>774700</v>
      </c>
      <c r="P66" s="305">
        <f>'Benefits Metrics '!U80</f>
        <v>788100</v>
      </c>
      <c r="Q66" s="305">
        <f>'Benefits Metrics '!V80</f>
        <v>801700</v>
      </c>
      <c r="R66" s="305">
        <f>'Benefits Metrics '!W80</f>
        <v>814500</v>
      </c>
      <c r="S66" s="305">
        <f>'Benefits Metrics '!X80</f>
        <v>827400</v>
      </c>
      <c r="T66" s="305">
        <f>'Benefits Metrics '!Y80</f>
        <v>840600</v>
      </c>
      <c r="U66" s="305">
        <f>'Benefits Metrics '!Z80</f>
        <v>854000</v>
      </c>
      <c r="V66" s="305">
        <f>'Benefits Metrics '!AA80</f>
        <v>867600</v>
      </c>
      <c r="W66" s="305">
        <f>'Benefits Metrics '!AB80</f>
        <v>867600</v>
      </c>
      <c r="X66" s="305">
        <f>'Benefits Metrics '!AC80</f>
        <v>867600</v>
      </c>
      <c r="Y66" s="305">
        <f>'Benefits Metrics '!AD80</f>
        <v>867600</v>
      </c>
      <c r="Z66" s="305">
        <f>'Benefits Metrics '!AE80</f>
        <v>867600</v>
      </c>
      <c r="AA66" s="305">
        <f>'Benefits Metrics '!AF80</f>
        <v>867600</v>
      </c>
      <c r="AB66" s="305">
        <f>'Benefits Metrics '!AG80</f>
        <v>867600</v>
      </c>
      <c r="AC66" s="305">
        <f>'Benefits Metrics '!AH80</f>
        <v>867600</v>
      </c>
      <c r="AD66" s="305">
        <f>'Benefits Metrics '!AI80</f>
        <v>867600</v>
      </c>
      <c r="AE66" s="305">
        <f>'Benefits Metrics '!AJ80</f>
        <v>867600</v>
      </c>
      <c r="AF66" s="305">
        <f>'Benefits Metrics '!AK80</f>
        <v>867600</v>
      </c>
      <c r="AG66" s="305">
        <f>'Benefits Metrics '!AL80</f>
        <v>867600</v>
      </c>
      <c r="AH66" s="305">
        <f>'Benefits Metrics '!AM80</f>
        <v>867600</v>
      </c>
      <c r="AI66" s="305">
        <f>'Benefits Metrics '!AN80</f>
        <v>867600</v>
      </c>
      <c r="AJ66" s="305">
        <f>'Benefits Metrics '!AO80</f>
        <v>867600</v>
      </c>
      <c r="AK66" s="305">
        <f>'Benefits Metrics '!AP80</f>
        <v>867600</v>
      </c>
      <c r="AL66" s="305">
        <f>'Benefits Metrics '!AQ80</f>
        <v>867600</v>
      </c>
      <c r="AM66" s="305">
        <f>'Benefits Metrics '!AR80</f>
        <v>867600</v>
      </c>
      <c r="AN66" s="305">
        <f>'Benefits Metrics '!AS80</f>
        <v>867600</v>
      </c>
      <c r="AO66" s="305">
        <f>'Benefits Metrics '!AT80</f>
        <v>867600</v>
      </c>
      <c r="AP66" s="305">
        <f>'Benefits Metrics '!AU80</f>
        <v>867600</v>
      </c>
    </row>
    <row r="67" spans="2:42" x14ac:dyDescent="0.75">
      <c r="B67" s="60"/>
      <c r="C67" s="60"/>
      <c r="D67" s="60"/>
      <c r="E67" s="60"/>
      <c r="K67" s="307" t="s">
        <v>157</v>
      </c>
      <c r="L67" s="308">
        <f>'Benefits Metrics '!Q81</f>
        <v>50</v>
      </c>
      <c r="M67" s="309">
        <f>'Benefits Metrics '!R81</f>
        <v>52</v>
      </c>
      <c r="N67" s="309">
        <f>'Benefits Metrics '!S81</f>
        <v>53</v>
      </c>
      <c r="O67" s="308">
        <f>'Benefits Metrics '!T81</f>
        <v>54</v>
      </c>
      <c r="P67" s="308">
        <f>'Benefits Metrics '!U81</f>
        <v>55</v>
      </c>
      <c r="Q67" s="308">
        <f>'Benefits Metrics '!V81</f>
        <v>56</v>
      </c>
      <c r="R67" s="308">
        <f>'Benefits Metrics '!W81</f>
        <v>57</v>
      </c>
      <c r="S67" s="308">
        <f>'Benefits Metrics '!X81</f>
        <v>58</v>
      </c>
      <c r="T67" s="308">
        <f>'Benefits Metrics '!Y81</f>
        <v>60</v>
      </c>
      <c r="U67" s="308">
        <f>'Benefits Metrics '!Z81</f>
        <v>61</v>
      </c>
      <c r="V67" s="308">
        <f>'Benefits Metrics '!AA81</f>
        <v>62</v>
      </c>
      <c r="W67" s="308">
        <f>'Benefits Metrics '!AB81</f>
        <v>63</v>
      </c>
      <c r="X67" s="308">
        <f>'Benefits Metrics '!AC81</f>
        <v>64</v>
      </c>
      <c r="Y67" s="308">
        <f>'Benefits Metrics '!AD81</f>
        <v>65</v>
      </c>
      <c r="Z67" s="308">
        <f>'Benefits Metrics '!AE81</f>
        <v>66</v>
      </c>
      <c r="AA67" s="308">
        <f>'Benefits Metrics '!AF81</f>
        <v>67</v>
      </c>
      <c r="AB67" s="308">
        <f>'Benefits Metrics '!AG81</f>
        <v>69</v>
      </c>
      <c r="AC67" s="308">
        <f>'Benefits Metrics '!AH81</f>
        <v>70</v>
      </c>
      <c r="AD67" s="308">
        <f>'Benefits Metrics '!AI81</f>
        <v>71</v>
      </c>
      <c r="AE67" s="308">
        <f>'Benefits Metrics '!AJ81</f>
        <v>72</v>
      </c>
      <c r="AF67" s="308">
        <f>'Benefits Metrics '!AK81</f>
        <v>73</v>
      </c>
      <c r="AG67" s="308">
        <f>'Benefits Metrics '!AL81</f>
        <v>74</v>
      </c>
      <c r="AH67" s="308">
        <f>'Benefits Metrics '!AM81</f>
        <v>75</v>
      </c>
      <c r="AI67" s="308">
        <f>'Benefits Metrics '!AN81</f>
        <v>77</v>
      </c>
      <c r="AJ67" s="308">
        <f>'Benefits Metrics '!AO81</f>
        <v>78</v>
      </c>
      <c r="AK67" s="308">
        <f>'Benefits Metrics '!AP81</f>
        <v>79</v>
      </c>
      <c r="AL67" s="308">
        <f>'Benefits Metrics '!AQ81</f>
        <v>80</v>
      </c>
      <c r="AM67" s="308">
        <f>'Benefits Metrics '!AR81</f>
        <v>81</v>
      </c>
      <c r="AN67" s="308">
        <f>'Benefits Metrics '!AS81</f>
        <v>82</v>
      </c>
      <c r="AO67" s="308">
        <f>'Benefits Metrics '!AT81</f>
        <v>83</v>
      </c>
      <c r="AP67" s="308">
        <f>'Benefits Metrics '!AU81</f>
        <v>85</v>
      </c>
    </row>
    <row r="68" spans="2:42" x14ac:dyDescent="0.75">
      <c r="B68" s="60"/>
      <c r="C68" s="60"/>
      <c r="D68" s="60"/>
      <c r="E68" s="60"/>
      <c r="L68" s="68"/>
      <c r="M68" s="86"/>
      <c r="N68" s="86"/>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row>
    <row r="69" spans="2:42" x14ac:dyDescent="0.75">
      <c r="B69" s="60"/>
      <c r="C69" s="60"/>
      <c r="D69" s="60"/>
      <c r="E69" s="60"/>
      <c r="L69" s="68"/>
      <c r="M69" s="86"/>
      <c r="N69" s="86"/>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row>
    <row r="70" spans="2:42" x14ac:dyDescent="0.75">
      <c r="B70" s="60"/>
      <c r="C70" s="60"/>
      <c r="D70" s="60"/>
      <c r="E70" s="60"/>
      <c r="L70" s="68"/>
      <c r="M70" s="86"/>
      <c r="N70" s="86"/>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row>
    <row r="71" spans="2:42" x14ac:dyDescent="0.75">
      <c r="B71" s="60"/>
      <c r="C71" s="60"/>
      <c r="J71" s="115" t="s">
        <v>197</v>
      </c>
      <c r="K71" s="120">
        <f>NPV(0.03,N60:AI60)+M60</f>
        <v>475560039.47871411</v>
      </c>
      <c r="L71" s="68"/>
      <c r="O71" s="68"/>
    </row>
    <row r="72" spans="2:42" x14ac:dyDescent="0.75">
      <c r="J72" s="115" t="s">
        <v>137</v>
      </c>
      <c r="K72" s="144">
        <f>NPV(0.07,N60:AI60)+M60</f>
        <v>280837810.78177589</v>
      </c>
    </row>
    <row r="73" spans="2:42" x14ac:dyDescent="0.75">
      <c r="J73" s="115" t="s">
        <v>115</v>
      </c>
      <c r="K73" s="144">
        <f>NPV(0.03,N58:AI58)+M58</f>
        <v>46314902.597882167</v>
      </c>
    </row>
    <row r="74" spans="2:42" x14ac:dyDescent="0.75">
      <c r="J74" s="226" t="s">
        <v>159</v>
      </c>
      <c r="K74" s="227">
        <f>K73+K71</f>
        <v>521874942.07659626</v>
      </c>
    </row>
    <row r="75" spans="2:42" x14ac:dyDescent="0.75">
      <c r="J75" s="226" t="s">
        <v>160</v>
      </c>
      <c r="K75" s="227">
        <f>K73+K72</f>
        <v>327152713.37965804</v>
      </c>
    </row>
    <row r="76" spans="2:42" x14ac:dyDescent="0.75">
      <c r="O76" s="78"/>
    </row>
    <row r="77" spans="2:42" s="64" customFormat="1" ht="17.25" x14ac:dyDescent="0.75">
      <c r="B77" s="9" t="s">
        <v>236</v>
      </c>
    </row>
    <row r="78" spans="2:42" x14ac:dyDescent="0.75">
      <c r="K78" s="167" t="s">
        <v>167</v>
      </c>
      <c r="L78" s="115">
        <f>L43/100000000</f>
        <v>0</v>
      </c>
      <c r="M78" s="115">
        <f>M43/100000000</f>
        <v>0</v>
      </c>
      <c r="N78" s="115">
        <f>N42/100000000</f>
        <v>0</v>
      </c>
      <c r="O78" s="115">
        <f t="shared" ref="O78:AP78" si="31">O42/100000000</f>
        <v>0</v>
      </c>
      <c r="P78" s="115">
        <f t="shared" si="31"/>
        <v>0</v>
      </c>
      <c r="Q78" s="115">
        <f t="shared" si="31"/>
        <v>0</v>
      </c>
      <c r="R78" s="115">
        <f t="shared" si="31"/>
        <v>0</v>
      </c>
      <c r="S78" s="115">
        <f t="shared" si="31"/>
        <v>0.15747104347826088</v>
      </c>
      <c r="T78" s="115">
        <f t="shared" si="31"/>
        <v>0.19482704347826091</v>
      </c>
      <c r="U78" s="115">
        <f t="shared" si="31"/>
        <v>0.2101090434782609</v>
      </c>
      <c r="V78" s="115">
        <f t="shared" si="31"/>
        <v>0.22708904347826087</v>
      </c>
      <c r="W78" s="115">
        <f t="shared" si="31"/>
        <v>0.24406904347826086</v>
      </c>
      <c r="X78" s="115">
        <f t="shared" si="31"/>
        <v>0.26104904347826086</v>
      </c>
      <c r="Y78" s="115">
        <f t="shared" si="31"/>
        <v>0.26965790347826091</v>
      </c>
      <c r="Z78" s="115">
        <f t="shared" si="31"/>
        <v>0.27835285207826094</v>
      </c>
      <c r="AA78" s="115">
        <f t="shared" si="31"/>
        <v>0.28713475016426093</v>
      </c>
      <c r="AB78" s="115">
        <f t="shared" si="31"/>
        <v>0.296004467231121</v>
      </c>
      <c r="AC78" s="115">
        <f t="shared" si="31"/>
        <v>0.30496288146864964</v>
      </c>
      <c r="AD78" s="115">
        <f t="shared" si="31"/>
        <v>0.31401087984855353</v>
      </c>
      <c r="AE78" s="115">
        <f t="shared" si="31"/>
        <v>0.32314935821225649</v>
      </c>
      <c r="AF78" s="115">
        <f t="shared" si="31"/>
        <v>0.32314935821225649</v>
      </c>
      <c r="AG78" s="115">
        <f t="shared" si="31"/>
        <v>0.32314935821225649</v>
      </c>
      <c r="AH78" s="115">
        <f t="shared" si="31"/>
        <v>0.32314935821225649</v>
      </c>
      <c r="AI78" s="115">
        <f t="shared" si="31"/>
        <v>0.32314935821225649</v>
      </c>
      <c r="AJ78" s="115">
        <f t="shared" si="31"/>
        <v>0.32314935821225649</v>
      </c>
      <c r="AK78" s="115">
        <f t="shared" si="31"/>
        <v>0.32314935821225649</v>
      </c>
      <c r="AL78" s="115">
        <f t="shared" si="31"/>
        <v>0.32314935821225649</v>
      </c>
      <c r="AM78" s="115">
        <f t="shared" si="31"/>
        <v>0.32314935821225649</v>
      </c>
      <c r="AN78" s="115">
        <f t="shared" si="31"/>
        <v>0.32314935821225649</v>
      </c>
      <c r="AO78" s="115">
        <f t="shared" si="31"/>
        <v>0.32314935821225649</v>
      </c>
      <c r="AP78" s="115">
        <f t="shared" si="31"/>
        <v>0.32314935821225649</v>
      </c>
    </row>
    <row r="79" spans="2:42" ht="59.75" thickBot="1" x14ac:dyDescent="0.9">
      <c r="B79" s="122"/>
      <c r="C79" s="117"/>
      <c r="D79" s="117"/>
      <c r="E79" s="117"/>
      <c r="F79" s="123" t="s">
        <v>134</v>
      </c>
      <c r="G79" s="124"/>
      <c r="H79" s="118" t="s">
        <v>268</v>
      </c>
      <c r="J79" s="68"/>
      <c r="K79" s="115"/>
      <c r="L79" s="115">
        <f>L45</f>
        <v>2019</v>
      </c>
      <c r="M79" s="115">
        <f>M45</f>
        <v>2020</v>
      </c>
      <c r="N79" s="145">
        <v>2022</v>
      </c>
      <c r="O79" s="115">
        <f t="shared" ref="O79:AJ79" si="32">O45</f>
        <v>2022</v>
      </c>
      <c r="P79" s="115">
        <f t="shared" si="32"/>
        <v>2023</v>
      </c>
      <c r="Q79" s="115">
        <f t="shared" si="32"/>
        <v>2024</v>
      </c>
      <c r="R79" s="115">
        <f t="shared" si="32"/>
        <v>2025</v>
      </c>
      <c r="S79" s="115">
        <f t="shared" si="32"/>
        <v>2026</v>
      </c>
      <c r="T79" s="115">
        <f t="shared" si="32"/>
        <v>2027</v>
      </c>
      <c r="U79" s="115">
        <f t="shared" si="32"/>
        <v>2028</v>
      </c>
      <c r="V79" s="115">
        <f t="shared" si="32"/>
        <v>2029</v>
      </c>
      <c r="W79" s="115">
        <f t="shared" si="32"/>
        <v>2030</v>
      </c>
      <c r="X79" s="115">
        <f t="shared" si="32"/>
        <v>2031</v>
      </c>
      <c r="Y79" s="115">
        <f t="shared" si="32"/>
        <v>2032</v>
      </c>
      <c r="Z79" s="115">
        <f t="shared" si="32"/>
        <v>2033</v>
      </c>
      <c r="AA79" s="115">
        <f t="shared" si="32"/>
        <v>2034</v>
      </c>
      <c r="AB79" s="115">
        <f t="shared" si="32"/>
        <v>2035</v>
      </c>
      <c r="AC79" s="115">
        <f t="shared" si="32"/>
        <v>2036</v>
      </c>
      <c r="AD79" s="115">
        <f t="shared" si="32"/>
        <v>2037</v>
      </c>
      <c r="AE79" s="115">
        <f t="shared" si="32"/>
        <v>2038</v>
      </c>
      <c r="AF79" s="115">
        <f t="shared" si="32"/>
        <v>2039</v>
      </c>
      <c r="AG79" s="115">
        <f t="shared" si="32"/>
        <v>2040</v>
      </c>
      <c r="AH79" s="115">
        <f t="shared" si="32"/>
        <v>2041</v>
      </c>
      <c r="AI79" s="115">
        <f t="shared" si="32"/>
        <v>2042</v>
      </c>
      <c r="AJ79" s="115">
        <f t="shared" si="32"/>
        <v>2043</v>
      </c>
      <c r="AK79" s="115">
        <f>AJ79+1</f>
        <v>2044</v>
      </c>
      <c r="AL79" s="115">
        <f t="shared" ref="AL79:AP79" si="33">AK79+1</f>
        <v>2045</v>
      </c>
      <c r="AM79" s="115">
        <f t="shared" si="33"/>
        <v>2046</v>
      </c>
      <c r="AN79" s="115">
        <f t="shared" si="33"/>
        <v>2047</v>
      </c>
      <c r="AO79" s="115">
        <f t="shared" si="33"/>
        <v>2048</v>
      </c>
      <c r="AP79" s="115">
        <f t="shared" si="33"/>
        <v>2049</v>
      </c>
    </row>
    <row r="80" spans="2:42" ht="45" thickBot="1" x14ac:dyDescent="0.9">
      <c r="B80" s="125" t="s">
        <v>133</v>
      </c>
      <c r="C80" s="115"/>
      <c r="D80" s="115" t="str">
        <f>'Benefits Metrics '!E52</f>
        <v>$ per accident</v>
      </c>
      <c r="E80" s="115"/>
      <c r="F80" s="126">
        <f>'Benefits Metrics '!K52</f>
        <v>1.1336919999999999</v>
      </c>
      <c r="G80" s="115"/>
      <c r="H80" s="127">
        <f>'Benefits Metrics '!I52</f>
        <v>11600000</v>
      </c>
      <c r="J80" s="225" t="s">
        <v>202</v>
      </c>
      <c r="K80" s="210" t="s">
        <v>50</v>
      </c>
      <c r="L80" s="120">
        <f>L$78*$F80*$H80</f>
        <v>0</v>
      </c>
      <c r="M80" s="120">
        <f t="shared" ref="M80:AP80" si="34">M78*$F80*$H80</f>
        <v>0</v>
      </c>
      <c r="N80" s="120">
        <f t="shared" si="34"/>
        <v>0</v>
      </c>
      <c r="O80" s="120">
        <f t="shared" si="34"/>
        <v>0</v>
      </c>
      <c r="P80" s="120">
        <f t="shared" si="34"/>
        <v>0</v>
      </c>
      <c r="Q80" s="120">
        <f t="shared" si="34"/>
        <v>0</v>
      </c>
      <c r="R80" s="120">
        <f t="shared" si="34"/>
        <v>0</v>
      </c>
      <c r="S80" s="120">
        <f t="shared" si="34"/>
        <v>2070874.4817862955</v>
      </c>
      <c r="T80" s="120">
        <f t="shared" si="34"/>
        <v>2562136.7826694963</v>
      </c>
      <c r="U80" s="120">
        <f t="shared" si="34"/>
        <v>2763107.7239398956</v>
      </c>
      <c r="V80" s="120">
        <f t="shared" si="34"/>
        <v>2986408.7697958956</v>
      </c>
      <c r="W80" s="120">
        <f t="shared" si="34"/>
        <v>3209709.815651895</v>
      </c>
      <c r="X80" s="120">
        <f t="shared" si="34"/>
        <v>3433010.8615078949</v>
      </c>
      <c r="Y80" s="120">
        <f t="shared" si="34"/>
        <v>3546224.4917568881</v>
      </c>
      <c r="Z80" s="120">
        <f t="shared" si="34"/>
        <v>3660570.2583083701</v>
      </c>
      <c r="AA80" s="120">
        <f t="shared" si="34"/>
        <v>3776059.4825253673</v>
      </c>
      <c r="AB80" s="120">
        <f t="shared" si="34"/>
        <v>3892703.5989845344</v>
      </c>
      <c r="AC80" s="120">
        <f t="shared" si="34"/>
        <v>4010514.1566082933</v>
      </c>
      <c r="AD80" s="120">
        <f t="shared" si="34"/>
        <v>4129502.8198082894</v>
      </c>
      <c r="AE80" s="120">
        <f t="shared" si="34"/>
        <v>4249681.3696402861</v>
      </c>
      <c r="AF80" s="120">
        <f t="shared" si="34"/>
        <v>4249681.3696402861</v>
      </c>
      <c r="AG80" s="120">
        <f t="shared" si="34"/>
        <v>4249681.3696402861</v>
      </c>
      <c r="AH80" s="120">
        <f t="shared" si="34"/>
        <v>4249681.3696402861</v>
      </c>
      <c r="AI80" s="120">
        <f t="shared" si="34"/>
        <v>4249681.3696402861</v>
      </c>
      <c r="AJ80" s="120">
        <f t="shared" si="34"/>
        <v>4249681.3696402861</v>
      </c>
      <c r="AK80" s="120">
        <f t="shared" si="34"/>
        <v>4249681.3696402861</v>
      </c>
      <c r="AL80" s="120">
        <f t="shared" si="34"/>
        <v>4249681.3696402861</v>
      </c>
      <c r="AM80" s="120">
        <f t="shared" si="34"/>
        <v>4249681.3696402861</v>
      </c>
      <c r="AN80" s="120">
        <f t="shared" si="34"/>
        <v>4249681.3696402861</v>
      </c>
      <c r="AO80" s="120">
        <f t="shared" si="34"/>
        <v>4249681.3696402861</v>
      </c>
      <c r="AP80" s="120">
        <f t="shared" si="34"/>
        <v>4249681.3696402861</v>
      </c>
    </row>
    <row r="81" spans="2:42" x14ac:dyDescent="0.75">
      <c r="B81" s="125" t="s">
        <v>52</v>
      </c>
      <c r="C81" s="115"/>
      <c r="D81" s="115" t="str">
        <f>'Benefits Metrics '!E53</f>
        <v>$ per accident</v>
      </c>
      <c r="E81" s="115"/>
      <c r="F81" s="126">
        <f>'Benefits Metrics '!K53</f>
        <v>78.924260000000004</v>
      </c>
      <c r="G81" s="115"/>
      <c r="H81" s="127">
        <f>'Benefits Metrics '!I59</f>
        <v>302600</v>
      </c>
      <c r="K81" s="115" t="s">
        <v>116</v>
      </c>
      <c r="L81" s="120">
        <f>$H$81*$F$81*L$78</f>
        <v>0</v>
      </c>
      <c r="M81" s="170">
        <f>$H$81*$F$81*M$78</f>
        <v>0</v>
      </c>
      <c r="N81" s="170">
        <f>$H$81*$F$81*N$78</f>
        <v>0</v>
      </c>
      <c r="O81" s="120">
        <f t="shared" ref="O81:AP81" si="35">$F$81*$H$81*O$78</f>
        <v>0</v>
      </c>
      <c r="P81" s="120">
        <f t="shared" si="35"/>
        <v>0</v>
      </c>
      <c r="Q81" s="120">
        <f t="shared" si="35"/>
        <v>0</v>
      </c>
      <c r="R81" s="120">
        <f t="shared" si="35"/>
        <v>0</v>
      </c>
      <c r="S81" s="120">
        <f t="shared" si="35"/>
        <v>3760799.2158875391</v>
      </c>
      <c r="T81" s="120">
        <f t="shared" si="35"/>
        <v>4652953.1789625958</v>
      </c>
      <c r="U81" s="120">
        <f t="shared" si="35"/>
        <v>5017925.2547660274</v>
      </c>
      <c r="V81" s="120">
        <f t="shared" si="35"/>
        <v>5423449.783436507</v>
      </c>
      <c r="W81" s="120">
        <f t="shared" si="35"/>
        <v>5828974.3121069865</v>
      </c>
      <c r="X81" s="120">
        <f t="shared" si="35"/>
        <v>6234498.8407774661</v>
      </c>
      <c r="Y81" s="120">
        <f t="shared" si="35"/>
        <v>6440099.7768134009</v>
      </c>
      <c r="Z81" s="120">
        <f t="shared" si="35"/>
        <v>6647756.7222096948</v>
      </c>
      <c r="AA81" s="120">
        <f t="shared" si="35"/>
        <v>6857490.2370599499</v>
      </c>
      <c r="AB81" s="120">
        <f t="shared" si="35"/>
        <v>7069321.0870587099</v>
      </c>
      <c r="AC81" s="120">
        <f t="shared" si="35"/>
        <v>7283270.2455574563</v>
      </c>
      <c r="AD81" s="120">
        <f t="shared" si="35"/>
        <v>7499358.89564119</v>
      </c>
      <c r="AE81" s="120">
        <f t="shared" si="35"/>
        <v>7717608.432225761</v>
      </c>
      <c r="AF81" s="120">
        <f t="shared" si="35"/>
        <v>7717608.432225761</v>
      </c>
      <c r="AG81" s="120">
        <f t="shared" si="35"/>
        <v>7717608.432225761</v>
      </c>
      <c r="AH81" s="120">
        <f t="shared" si="35"/>
        <v>7717608.432225761</v>
      </c>
      <c r="AI81" s="120">
        <f t="shared" si="35"/>
        <v>7717608.432225761</v>
      </c>
      <c r="AJ81" s="120">
        <f t="shared" si="35"/>
        <v>7717608.432225761</v>
      </c>
      <c r="AK81" s="120">
        <f t="shared" si="35"/>
        <v>7717608.432225761</v>
      </c>
      <c r="AL81" s="120">
        <f t="shared" si="35"/>
        <v>7717608.432225761</v>
      </c>
      <c r="AM81" s="120">
        <f t="shared" si="35"/>
        <v>7717608.432225761</v>
      </c>
      <c r="AN81" s="120">
        <f t="shared" si="35"/>
        <v>7717608.432225761</v>
      </c>
      <c r="AO81" s="120">
        <f t="shared" si="35"/>
        <v>7717608.432225761</v>
      </c>
      <c r="AP81" s="120">
        <f t="shared" si="35"/>
        <v>7717608.432225761</v>
      </c>
    </row>
    <row r="82" spans="2:42" x14ac:dyDescent="0.75">
      <c r="B82" s="125" t="s">
        <v>132</v>
      </c>
      <c r="C82" s="115"/>
      <c r="D82" s="115" t="str">
        <f>'Benefits Metrics '!E57</f>
        <v>$ per accident</v>
      </c>
      <c r="E82" s="115"/>
      <c r="F82" s="126">
        <f>'Benefits Metrics '!K57</f>
        <v>203.400385</v>
      </c>
      <c r="G82" s="115"/>
      <c r="H82" s="127">
        <f>'Benefits Metrics '!I57</f>
        <v>4600</v>
      </c>
      <c r="K82" s="115" t="s">
        <v>102</v>
      </c>
      <c r="L82" s="120">
        <f t="shared" ref="L82:AP82" si="36">L$78*$F82*$H82</f>
        <v>0</v>
      </c>
      <c r="M82" s="120">
        <f t="shared" si="36"/>
        <v>0</v>
      </c>
      <c r="N82" s="120">
        <f t="shared" si="36"/>
        <v>0</v>
      </c>
      <c r="O82" s="120">
        <f t="shared" si="36"/>
        <v>0</v>
      </c>
      <c r="P82" s="120">
        <f t="shared" si="36"/>
        <v>0</v>
      </c>
      <c r="Q82" s="120">
        <f t="shared" si="36"/>
        <v>0</v>
      </c>
      <c r="R82" s="120">
        <f t="shared" si="36"/>
        <v>0</v>
      </c>
      <c r="S82" s="120">
        <f t="shared" si="36"/>
        <v>147336.486001218</v>
      </c>
      <c r="T82" s="120">
        <f t="shared" si="36"/>
        <v>182288.31999869403</v>
      </c>
      <c r="U82" s="120">
        <f t="shared" si="36"/>
        <v>196586.797543116</v>
      </c>
      <c r="V82" s="120">
        <f t="shared" si="36"/>
        <v>212473.99481469599</v>
      </c>
      <c r="W82" s="120">
        <f t="shared" si="36"/>
        <v>228361.19208627599</v>
      </c>
      <c r="X82" s="120">
        <f t="shared" si="36"/>
        <v>244248.38935785598</v>
      </c>
      <c r="Y82" s="120">
        <f t="shared" si="36"/>
        <v>252303.19837454709</v>
      </c>
      <c r="Z82" s="120">
        <f t="shared" si="36"/>
        <v>260438.55548140511</v>
      </c>
      <c r="AA82" s="120">
        <f t="shared" si="36"/>
        <v>268655.2661593316</v>
      </c>
      <c r="AB82" s="120">
        <f t="shared" si="36"/>
        <v>276954.1439440375</v>
      </c>
      <c r="AC82" s="120">
        <f t="shared" si="36"/>
        <v>285336.01050659042</v>
      </c>
      <c r="AD82" s="120">
        <f t="shared" si="36"/>
        <v>293801.69573476881</v>
      </c>
      <c r="AE82" s="120">
        <f t="shared" si="36"/>
        <v>302352.03781522904</v>
      </c>
      <c r="AF82" s="120">
        <f t="shared" si="36"/>
        <v>302352.03781522904</v>
      </c>
      <c r="AG82" s="120">
        <f t="shared" si="36"/>
        <v>302352.03781522904</v>
      </c>
      <c r="AH82" s="120">
        <f t="shared" si="36"/>
        <v>302352.03781522904</v>
      </c>
      <c r="AI82" s="120">
        <f t="shared" si="36"/>
        <v>302352.03781522904</v>
      </c>
      <c r="AJ82" s="120">
        <f t="shared" si="36"/>
        <v>302352.03781522904</v>
      </c>
      <c r="AK82" s="120">
        <f t="shared" si="36"/>
        <v>302352.03781522904</v>
      </c>
      <c r="AL82" s="120">
        <f t="shared" si="36"/>
        <v>302352.03781522904</v>
      </c>
      <c r="AM82" s="120">
        <f t="shared" si="36"/>
        <v>302352.03781522904</v>
      </c>
      <c r="AN82" s="120">
        <f t="shared" si="36"/>
        <v>302352.03781522904</v>
      </c>
      <c r="AO82" s="120">
        <f t="shared" si="36"/>
        <v>302352.03781522904</v>
      </c>
      <c r="AP82" s="120">
        <f t="shared" si="36"/>
        <v>302352.03781522904</v>
      </c>
    </row>
    <row r="83" spans="2:42" x14ac:dyDescent="0.75">
      <c r="F83" s="72"/>
      <c r="H83" s="71"/>
      <c r="K83" s="115"/>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15"/>
      <c r="AL83" s="115"/>
      <c r="AM83" s="115"/>
      <c r="AN83" s="115"/>
      <c r="AO83" s="115"/>
      <c r="AP83" s="115"/>
    </row>
    <row r="84" spans="2:42" x14ac:dyDescent="0.75">
      <c r="F84" s="72"/>
      <c r="H84" s="71"/>
      <c r="K84" s="216" t="s">
        <v>117</v>
      </c>
      <c r="L84" s="120">
        <f>SUM(L80:L82)</f>
        <v>0</v>
      </c>
      <c r="M84" s="120">
        <f t="shared" ref="M84:AP84" si="37">SUM(M80:M82)</f>
        <v>0</v>
      </c>
      <c r="N84" s="120">
        <f t="shared" si="37"/>
        <v>0</v>
      </c>
      <c r="O84" s="120">
        <f>SUM(O80:O82)</f>
        <v>0</v>
      </c>
      <c r="P84" s="120">
        <f t="shared" si="37"/>
        <v>0</v>
      </c>
      <c r="Q84" s="120">
        <f t="shared" si="37"/>
        <v>0</v>
      </c>
      <c r="R84" s="120">
        <f t="shared" si="37"/>
        <v>0</v>
      </c>
      <c r="S84" s="120">
        <f t="shared" si="37"/>
        <v>5979010.1836750526</v>
      </c>
      <c r="T84" s="120">
        <f t="shared" si="37"/>
        <v>7397378.2816307852</v>
      </c>
      <c r="U84" s="120">
        <f t="shared" si="37"/>
        <v>7977619.776249039</v>
      </c>
      <c r="V84" s="120">
        <f t="shared" si="37"/>
        <v>8622332.5480470974</v>
      </c>
      <c r="W84" s="120">
        <f t="shared" si="37"/>
        <v>9267045.3198451567</v>
      </c>
      <c r="X84" s="120">
        <f t="shared" si="37"/>
        <v>9911758.0916432161</v>
      </c>
      <c r="Y84" s="120">
        <f t="shared" si="37"/>
        <v>10238627.466944836</v>
      </c>
      <c r="Z84" s="120">
        <f t="shared" si="37"/>
        <v>10568765.535999471</v>
      </c>
      <c r="AA84" s="120">
        <f t="shared" si="37"/>
        <v>10902204.98574465</v>
      </c>
      <c r="AB84" s="120">
        <f t="shared" si="37"/>
        <v>11238978.829987282</v>
      </c>
      <c r="AC84" s="120">
        <f t="shared" si="37"/>
        <v>11579120.412672341</v>
      </c>
      <c r="AD84" s="120">
        <f t="shared" si="37"/>
        <v>11922663.411184248</v>
      </c>
      <c r="AE84" s="120">
        <f t="shared" si="37"/>
        <v>12269641.839681275</v>
      </c>
      <c r="AF84" s="120">
        <f t="shared" si="37"/>
        <v>12269641.839681275</v>
      </c>
      <c r="AG84" s="120">
        <f t="shared" si="37"/>
        <v>12269641.839681275</v>
      </c>
      <c r="AH84" s="120">
        <f t="shared" si="37"/>
        <v>12269641.839681275</v>
      </c>
      <c r="AI84" s="120">
        <f t="shared" si="37"/>
        <v>12269641.839681275</v>
      </c>
      <c r="AJ84" s="120">
        <f t="shared" si="37"/>
        <v>12269641.839681275</v>
      </c>
      <c r="AK84" s="120">
        <f t="shared" si="37"/>
        <v>12269641.839681275</v>
      </c>
      <c r="AL84" s="120">
        <f t="shared" si="37"/>
        <v>12269641.839681275</v>
      </c>
      <c r="AM84" s="120">
        <f t="shared" si="37"/>
        <v>12269641.839681275</v>
      </c>
      <c r="AN84" s="120">
        <f t="shared" si="37"/>
        <v>12269641.839681275</v>
      </c>
      <c r="AO84" s="120">
        <f t="shared" si="37"/>
        <v>12269641.839681275</v>
      </c>
      <c r="AP84" s="120">
        <f t="shared" si="37"/>
        <v>12269641.839681275</v>
      </c>
    </row>
    <row r="85" spans="2:42" x14ac:dyDescent="0.75">
      <c r="J85" s="226" t="s">
        <v>144</v>
      </c>
      <c r="K85" s="227">
        <f>NPV(0.03,N84:AI84)+M84</f>
        <v>115209326.61300102</v>
      </c>
    </row>
    <row r="86" spans="2:42" x14ac:dyDescent="0.75">
      <c r="J86" s="226" t="s">
        <v>217</v>
      </c>
      <c r="K86" s="227">
        <f>NPV(0.07,N84:AI84)+M84</f>
        <v>68199897.781989023</v>
      </c>
    </row>
    <row r="87" spans="2:42" x14ac:dyDescent="0.75">
      <c r="H87" s="71"/>
    </row>
    <row r="90" spans="2:42" s="64" customFormat="1" x14ac:dyDescent="0.75">
      <c r="B90" s="66" t="s">
        <v>120</v>
      </c>
    </row>
    <row r="91" spans="2:42" x14ac:dyDescent="0.75">
      <c r="K91" s="115"/>
      <c r="L91" s="113">
        <f>L79</f>
        <v>2019</v>
      </c>
      <c r="M91" s="113">
        <f t="shared" ref="M91:AJ91" si="38">M79</f>
        <v>2020</v>
      </c>
      <c r="N91" s="113">
        <v>2022</v>
      </c>
      <c r="O91" s="113">
        <f>O79</f>
        <v>2022</v>
      </c>
      <c r="P91" s="113">
        <f t="shared" si="38"/>
        <v>2023</v>
      </c>
      <c r="Q91" s="113">
        <f t="shared" si="38"/>
        <v>2024</v>
      </c>
      <c r="R91" s="113">
        <f t="shared" si="38"/>
        <v>2025</v>
      </c>
      <c r="S91" s="113">
        <f t="shared" si="38"/>
        <v>2026</v>
      </c>
      <c r="T91" s="113">
        <f t="shared" si="38"/>
        <v>2027</v>
      </c>
      <c r="U91" s="113">
        <f t="shared" si="38"/>
        <v>2028</v>
      </c>
      <c r="V91" s="113">
        <f t="shared" si="38"/>
        <v>2029</v>
      </c>
      <c r="W91" s="113">
        <f t="shared" si="38"/>
        <v>2030</v>
      </c>
      <c r="X91" s="113">
        <f t="shared" si="38"/>
        <v>2031</v>
      </c>
      <c r="Y91" s="113">
        <f t="shared" si="38"/>
        <v>2032</v>
      </c>
      <c r="Z91" s="113">
        <f t="shared" si="38"/>
        <v>2033</v>
      </c>
      <c r="AA91" s="113">
        <f t="shared" si="38"/>
        <v>2034</v>
      </c>
      <c r="AB91" s="113">
        <f t="shared" si="38"/>
        <v>2035</v>
      </c>
      <c r="AC91" s="113">
        <f t="shared" si="38"/>
        <v>2036</v>
      </c>
      <c r="AD91" s="113">
        <f t="shared" si="38"/>
        <v>2037</v>
      </c>
      <c r="AE91" s="113">
        <f t="shared" si="38"/>
        <v>2038</v>
      </c>
      <c r="AF91" s="113">
        <f t="shared" si="38"/>
        <v>2039</v>
      </c>
      <c r="AG91" s="113">
        <f t="shared" si="38"/>
        <v>2040</v>
      </c>
      <c r="AH91" s="113">
        <f t="shared" si="38"/>
        <v>2041</v>
      </c>
      <c r="AI91" s="113">
        <f t="shared" si="38"/>
        <v>2042</v>
      </c>
      <c r="AJ91" s="113">
        <f t="shared" si="38"/>
        <v>2043</v>
      </c>
      <c r="AK91" s="113">
        <f>AJ91+1</f>
        <v>2044</v>
      </c>
      <c r="AL91" s="113">
        <f t="shared" ref="AL91:AP91" si="39">AK91+1</f>
        <v>2045</v>
      </c>
      <c r="AM91" s="113">
        <f t="shared" si="39"/>
        <v>2046</v>
      </c>
      <c r="AN91" s="113">
        <f t="shared" si="39"/>
        <v>2047</v>
      </c>
      <c r="AO91" s="113">
        <f t="shared" si="39"/>
        <v>2048</v>
      </c>
      <c r="AP91" s="113">
        <f t="shared" si="39"/>
        <v>2049</v>
      </c>
    </row>
    <row r="92" spans="2:42" ht="15.5" thickBot="1" x14ac:dyDescent="0.9">
      <c r="B92" s="128" t="s">
        <v>164</v>
      </c>
      <c r="C92" s="124" t="s">
        <v>121</v>
      </c>
      <c r="K92" s="115" t="s">
        <v>122</v>
      </c>
      <c r="L92" s="114">
        <f>L43</f>
        <v>0</v>
      </c>
      <c r="M92" s="114">
        <f>M43</f>
        <v>0</v>
      </c>
      <c r="N92" s="114">
        <f>N42</f>
        <v>0</v>
      </c>
      <c r="O92" s="114">
        <f t="shared" ref="O92:AP92" si="40">O42</f>
        <v>0</v>
      </c>
      <c r="P92" s="114">
        <f t="shared" si="40"/>
        <v>0</v>
      </c>
      <c r="Q92" s="114">
        <f t="shared" si="40"/>
        <v>0</v>
      </c>
      <c r="R92" s="114">
        <f t="shared" si="40"/>
        <v>0</v>
      </c>
      <c r="S92" s="114">
        <f t="shared" si="40"/>
        <v>15747104.347826088</v>
      </c>
      <c r="T92" s="114">
        <f t="shared" si="40"/>
        <v>19482704.34782609</v>
      </c>
      <c r="U92" s="114">
        <f t="shared" si="40"/>
        <v>21010904.34782609</v>
      </c>
      <c r="V92" s="114">
        <f t="shared" si="40"/>
        <v>22708904.347826086</v>
      </c>
      <c r="W92" s="114">
        <f t="shared" si="40"/>
        <v>24406904.347826086</v>
      </c>
      <c r="X92" s="114">
        <f t="shared" si="40"/>
        <v>26104904.347826086</v>
      </c>
      <c r="Y92" s="114">
        <f t="shared" si="40"/>
        <v>26965790.34782609</v>
      </c>
      <c r="Z92" s="114">
        <f t="shared" si="40"/>
        <v>27835285.207826093</v>
      </c>
      <c r="AA92" s="114">
        <f t="shared" si="40"/>
        <v>28713475.016426094</v>
      </c>
      <c r="AB92" s="114">
        <f t="shared" si="40"/>
        <v>29600446.723112099</v>
      </c>
      <c r="AC92" s="114">
        <f t="shared" si="40"/>
        <v>30496288.146864962</v>
      </c>
      <c r="AD92" s="114">
        <f t="shared" si="40"/>
        <v>31401087.984855354</v>
      </c>
      <c r="AE92" s="114">
        <f t="shared" si="40"/>
        <v>32314935.821225651</v>
      </c>
      <c r="AF92" s="114">
        <f t="shared" si="40"/>
        <v>32314935.821225651</v>
      </c>
      <c r="AG92" s="114">
        <f t="shared" si="40"/>
        <v>32314935.821225651</v>
      </c>
      <c r="AH92" s="114">
        <f t="shared" si="40"/>
        <v>32314935.821225651</v>
      </c>
      <c r="AI92" s="114">
        <f t="shared" si="40"/>
        <v>32314935.821225651</v>
      </c>
      <c r="AJ92" s="114">
        <f t="shared" si="40"/>
        <v>32314935.821225651</v>
      </c>
      <c r="AK92" s="114">
        <f t="shared" si="40"/>
        <v>32314935.821225651</v>
      </c>
      <c r="AL92" s="114">
        <f t="shared" si="40"/>
        <v>32314935.821225651</v>
      </c>
      <c r="AM92" s="114">
        <f t="shared" si="40"/>
        <v>32314935.821225651</v>
      </c>
      <c r="AN92" s="114">
        <f t="shared" si="40"/>
        <v>32314935.821225651</v>
      </c>
      <c r="AO92" s="114">
        <f t="shared" si="40"/>
        <v>32314935.821225651</v>
      </c>
      <c r="AP92" s="114">
        <f t="shared" si="40"/>
        <v>32314935.821225651</v>
      </c>
    </row>
    <row r="93" spans="2:42" ht="30.25" thickBot="1" x14ac:dyDescent="0.9">
      <c r="B93" s="129" t="str">
        <f>'Benefits Metrics '!C93</f>
        <v>Congestion</v>
      </c>
      <c r="C93" s="130">
        <f>'Benefits Metrics '!I93</f>
        <v>0.31</v>
      </c>
      <c r="J93" s="224" t="s">
        <v>201</v>
      </c>
      <c r="K93" s="210" t="str">
        <f>B93</f>
        <v>Congestion</v>
      </c>
      <c r="L93" s="146">
        <f t="shared" ref="L93:AP93" si="41">L92*$C93</f>
        <v>0</v>
      </c>
      <c r="M93" s="146">
        <f t="shared" si="41"/>
        <v>0</v>
      </c>
      <c r="N93" s="146">
        <f t="shared" si="41"/>
        <v>0</v>
      </c>
      <c r="O93" s="146">
        <f t="shared" si="41"/>
        <v>0</v>
      </c>
      <c r="P93" s="146">
        <f t="shared" si="41"/>
        <v>0</v>
      </c>
      <c r="Q93" s="146">
        <f t="shared" si="41"/>
        <v>0</v>
      </c>
      <c r="R93" s="146">
        <f t="shared" si="41"/>
        <v>0</v>
      </c>
      <c r="S93" s="146">
        <f t="shared" si="41"/>
        <v>4881602.3478260869</v>
      </c>
      <c r="T93" s="146">
        <f t="shared" si="41"/>
        <v>6039638.3478260878</v>
      </c>
      <c r="U93" s="146">
        <f t="shared" si="41"/>
        <v>6513380.3478260878</v>
      </c>
      <c r="V93" s="146">
        <f t="shared" si="41"/>
        <v>7039760.3478260869</v>
      </c>
      <c r="W93" s="146">
        <f t="shared" si="41"/>
        <v>7566140.3478260869</v>
      </c>
      <c r="X93" s="146">
        <f t="shared" si="41"/>
        <v>8092520.3478260869</v>
      </c>
      <c r="Y93" s="146">
        <f t="shared" si="41"/>
        <v>8359395.007826088</v>
      </c>
      <c r="Z93" s="146">
        <f t="shared" si="41"/>
        <v>8628938.4144260883</v>
      </c>
      <c r="AA93" s="146">
        <f t="shared" si="41"/>
        <v>8901177.2550920881</v>
      </c>
      <c r="AB93" s="146">
        <f t="shared" si="41"/>
        <v>9176138.4841647502</v>
      </c>
      <c r="AC93" s="146">
        <f t="shared" si="41"/>
        <v>9453849.3255281374</v>
      </c>
      <c r="AD93" s="146">
        <f t="shared" si="41"/>
        <v>9734337.2753051594</v>
      </c>
      <c r="AE93" s="146">
        <f t="shared" si="41"/>
        <v>10017630.104579952</v>
      </c>
      <c r="AF93" s="146">
        <f t="shared" si="41"/>
        <v>10017630.104579952</v>
      </c>
      <c r="AG93" s="146">
        <f t="shared" si="41"/>
        <v>10017630.104579952</v>
      </c>
      <c r="AH93" s="146">
        <f t="shared" si="41"/>
        <v>10017630.104579952</v>
      </c>
      <c r="AI93" s="146">
        <f t="shared" si="41"/>
        <v>10017630.104579952</v>
      </c>
      <c r="AJ93" s="146">
        <f t="shared" si="41"/>
        <v>10017630.104579952</v>
      </c>
      <c r="AK93" s="146">
        <f t="shared" si="41"/>
        <v>10017630.104579952</v>
      </c>
      <c r="AL93" s="146">
        <f t="shared" si="41"/>
        <v>10017630.104579952</v>
      </c>
      <c r="AM93" s="146">
        <f t="shared" si="41"/>
        <v>10017630.104579952</v>
      </c>
      <c r="AN93" s="146">
        <f t="shared" si="41"/>
        <v>10017630.104579952</v>
      </c>
      <c r="AO93" s="146">
        <f t="shared" si="41"/>
        <v>10017630.104579952</v>
      </c>
      <c r="AP93" s="146">
        <f t="shared" si="41"/>
        <v>10017630.104579952</v>
      </c>
    </row>
    <row r="94" spans="2:42" x14ac:dyDescent="0.75">
      <c r="B94" s="129" t="str">
        <f>'Benefits Metrics '!C95</f>
        <v>Noise</v>
      </c>
      <c r="C94" s="130">
        <f>'Benefits Metrics '!I95</f>
        <v>3.9300000000000002E-2</v>
      </c>
      <c r="K94" s="115" t="str">
        <f>B94</f>
        <v>Noise</v>
      </c>
      <c r="L94" s="146">
        <f t="shared" ref="L94:AP94" si="42">L92*$C94</f>
        <v>0</v>
      </c>
      <c r="M94" s="146">
        <f t="shared" si="42"/>
        <v>0</v>
      </c>
      <c r="N94" s="146">
        <f t="shared" si="42"/>
        <v>0</v>
      </c>
      <c r="O94" s="146">
        <f t="shared" si="42"/>
        <v>0</v>
      </c>
      <c r="P94" s="146">
        <f t="shared" si="42"/>
        <v>0</v>
      </c>
      <c r="Q94" s="146">
        <f t="shared" si="42"/>
        <v>0</v>
      </c>
      <c r="R94" s="146">
        <f t="shared" si="42"/>
        <v>0</v>
      </c>
      <c r="S94" s="146">
        <f t="shared" si="42"/>
        <v>618861.20086956525</v>
      </c>
      <c r="T94" s="146">
        <f t="shared" si="42"/>
        <v>765670.28086956532</v>
      </c>
      <c r="U94" s="146">
        <f t="shared" si="42"/>
        <v>825728.54086956533</v>
      </c>
      <c r="V94" s="146">
        <f t="shared" si="42"/>
        <v>892459.94086956524</v>
      </c>
      <c r="W94" s="146">
        <f t="shared" si="42"/>
        <v>959191.34086956526</v>
      </c>
      <c r="X94" s="146">
        <f t="shared" si="42"/>
        <v>1025922.7408695652</v>
      </c>
      <c r="Y94" s="146">
        <f t="shared" si="42"/>
        <v>1059755.5606695653</v>
      </c>
      <c r="Z94" s="146">
        <f t="shared" si="42"/>
        <v>1093926.7086675656</v>
      </c>
      <c r="AA94" s="146">
        <f t="shared" si="42"/>
        <v>1128439.5681455454</v>
      </c>
      <c r="AB94" s="146">
        <f t="shared" si="42"/>
        <v>1163297.5562183056</v>
      </c>
      <c r="AC94" s="146">
        <f t="shared" si="42"/>
        <v>1198504.124171793</v>
      </c>
      <c r="AD94" s="146">
        <f t="shared" si="42"/>
        <v>1234062.7578048154</v>
      </c>
      <c r="AE94" s="146">
        <f t="shared" si="42"/>
        <v>1269976.9777741681</v>
      </c>
      <c r="AF94" s="146">
        <f t="shared" si="42"/>
        <v>1269976.9777741681</v>
      </c>
      <c r="AG94" s="146">
        <f t="shared" si="42"/>
        <v>1269976.9777741681</v>
      </c>
      <c r="AH94" s="146">
        <f t="shared" si="42"/>
        <v>1269976.9777741681</v>
      </c>
      <c r="AI94" s="146">
        <f t="shared" si="42"/>
        <v>1269976.9777741681</v>
      </c>
      <c r="AJ94" s="146">
        <f t="shared" si="42"/>
        <v>1269976.9777741681</v>
      </c>
      <c r="AK94" s="146">
        <f t="shared" si="42"/>
        <v>1269976.9777741681</v>
      </c>
      <c r="AL94" s="146">
        <f t="shared" si="42"/>
        <v>1269976.9777741681</v>
      </c>
      <c r="AM94" s="146">
        <f t="shared" si="42"/>
        <v>1269976.9777741681</v>
      </c>
      <c r="AN94" s="146">
        <f t="shared" si="42"/>
        <v>1269976.9777741681</v>
      </c>
      <c r="AO94" s="146">
        <f t="shared" si="42"/>
        <v>1269976.9777741681</v>
      </c>
      <c r="AP94" s="146">
        <f t="shared" si="42"/>
        <v>1269976.9777741681</v>
      </c>
    </row>
    <row r="95" spans="2:42" ht="29.5" customHeight="1" x14ac:dyDescent="0.75">
      <c r="B95" s="131" t="str">
        <f>'Benefits Metrics '!C96</f>
        <v xml:space="preserve">     Pavement (Urban Interstate)</v>
      </c>
      <c r="C95" s="130">
        <f>'Benefits Metrics '!I96</f>
        <v>0.26984326612903226</v>
      </c>
      <c r="K95" s="37" t="s">
        <v>198</v>
      </c>
      <c r="L95" s="146">
        <f t="shared" ref="L95:M95" si="43">L92*$C95-L100</f>
        <v>0</v>
      </c>
      <c r="M95" s="146">
        <f t="shared" si="43"/>
        <v>0</v>
      </c>
      <c r="N95" s="146">
        <f>N92*$C95-N100</f>
        <v>0</v>
      </c>
      <c r="O95" s="146">
        <f t="shared" ref="O95:AP95" si="44">O92*$C95-O100</f>
        <v>0</v>
      </c>
      <c r="P95" s="146">
        <f t="shared" si="44"/>
        <v>0</v>
      </c>
      <c r="Q95" s="146">
        <f t="shared" si="44"/>
        <v>0</v>
      </c>
      <c r="R95" s="146">
        <f t="shared" si="44"/>
        <v>0</v>
      </c>
      <c r="S95" s="146">
        <f t="shared" si="44"/>
        <v>3648891.7160312063</v>
      </c>
      <c r="T95" s="146">
        <f t="shared" si="44"/>
        <v>4514498.4709828198</v>
      </c>
      <c r="U95" s="146">
        <f t="shared" si="44"/>
        <v>4868610.3252812074</v>
      </c>
      <c r="V95" s="146">
        <f t="shared" si="44"/>
        <v>5262067.9411683027</v>
      </c>
      <c r="W95" s="146">
        <f t="shared" si="44"/>
        <v>5655525.5570553998</v>
      </c>
      <c r="X95" s="146">
        <f t="shared" si="44"/>
        <v>6048983.1729424968</v>
      </c>
      <c r="Y95" s="146">
        <f t="shared" si="44"/>
        <v>6248466.1841972554</v>
      </c>
      <c r="Z95" s="146">
        <f t="shared" si="44"/>
        <v>6449944.0255645616</v>
      </c>
      <c r="AA95" s="146">
        <f t="shared" si="44"/>
        <v>6653436.6453455407</v>
      </c>
      <c r="AB95" s="146">
        <f t="shared" si="44"/>
        <v>6858964.1913243299</v>
      </c>
      <c r="AC95" s="146">
        <f t="shared" si="44"/>
        <v>7066547.0127629079</v>
      </c>
      <c r="AD95" s="146">
        <f t="shared" si="44"/>
        <v>7276205.6624158695</v>
      </c>
      <c r="AE95" s="146">
        <f t="shared" si="44"/>
        <v>7487960.8985653631</v>
      </c>
      <c r="AF95" s="146">
        <f t="shared" si="44"/>
        <v>7487960.8985653631</v>
      </c>
      <c r="AG95" s="146">
        <f t="shared" si="44"/>
        <v>7487960.8985653631</v>
      </c>
      <c r="AH95" s="146">
        <f t="shared" si="44"/>
        <v>7487960.8985653631</v>
      </c>
      <c r="AI95" s="146">
        <f t="shared" si="44"/>
        <v>7487960.8985653631</v>
      </c>
      <c r="AJ95" s="146">
        <f t="shared" si="44"/>
        <v>7487960.8985653631</v>
      </c>
      <c r="AK95" s="146">
        <f t="shared" si="44"/>
        <v>7487960.8985653631</v>
      </c>
      <c r="AL95" s="146">
        <f t="shared" si="44"/>
        <v>7487960.8985653631</v>
      </c>
      <c r="AM95" s="146">
        <f t="shared" si="44"/>
        <v>7487960.8985653631</v>
      </c>
      <c r="AN95" s="146">
        <f t="shared" si="44"/>
        <v>7487960.8985653631</v>
      </c>
      <c r="AO95" s="146">
        <f t="shared" si="44"/>
        <v>7487960.8985653631</v>
      </c>
      <c r="AP95" s="146">
        <f t="shared" si="44"/>
        <v>7487960.8985653631</v>
      </c>
    </row>
    <row r="96" spans="2:42" ht="28.75" customHeight="1" x14ac:dyDescent="0.75">
      <c r="K96" s="211" t="s">
        <v>187</v>
      </c>
      <c r="L96" s="207">
        <f>SUM(L93:L95)</f>
        <v>0</v>
      </c>
      <c r="M96" s="207">
        <f t="shared" ref="M96:AJ96" si="45">SUM(M93:M95)</f>
        <v>0</v>
      </c>
      <c r="N96" s="207">
        <f t="shared" ref="N96" si="46">SUM(N93:N95)</f>
        <v>0</v>
      </c>
      <c r="O96" s="207">
        <f>SUM(O93:O95)</f>
        <v>0</v>
      </c>
      <c r="P96" s="207">
        <f t="shared" si="45"/>
        <v>0</v>
      </c>
      <c r="Q96" s="207">
        <f t="shared" si="45"/>
        <v>0</v>
      </c>
      <c r="R96" s="207">
        <f t="shared" si="45"/>
        <v>0</v>
      </c>
      <c r="S96" s="207">
        <f t="shared" si="45"/>
        <v>9149355.2647268586</v>
      </c>
      <c r="T96" s="207">
        <f t="shared" si="45"/>
        <v>11319807.099678472</v>
      </c>
      <c r="U96" s="207">
        <f t="shared" si="45"/>
        <v>12207719.21397686</v>
      </c>
      <c r="V96" s="207">
        <f t="shared" si="45"/>
        <v>13194288.229863955</v>
      </c>
      <c r="W96" s="207">
        <f t="shared" si="45"/>
        <v>14180857.245751053</v>
      </c>
      <c r="X96" s="207">
        <f t="shared" si="45"/>
        <v>15167426.26163815</v>
      </c>
      <c r="Y96" s="207">
        <f t="shared" si="45"/>
        <v>15667616.752692908</v>
      </c>
      <c r="Z96" s="207">
        <f t="shared" si="45"/>
        <v>16172809.148658216</v>
      </c>
      <c r="AA96" s="207">
        <f t="shared" si="45"/>
        <v>16683053.468583174</v>
      </c>
      <c r="AB96" s="207">
        <f t="shared" si="45"/>
        <v>17198400.231707387</v>
      </c>
      <c r="AC96" s="207">
        <f t="shared" si="45"/>
        <v>17718900.462462839</v>
      </c>
      <c r="AD96" s="207">
        <f t="shared" si="45"/>
        <v>18244605.695525844</v>
      </c>
      <c r="AE96" s="207">
        <f t="shared" si="45"/>
        <v>18775567.98091948</v>
      </c>
      <c r="AF96" s="207">
        <f t="shared" si="45"/>
        <v>18775567.98091948</v>
      </c>
      <c r="AG96" s="207">
        <f t="shared" si="45"/>
        <v>18775567.98091948</v>
      </c>
      <c r="AH96" s="207">
        <f t="shared" si="45"/>
        <v>18775567.98091948</v>
      </c>
      <c r="AI96" s="207">
        <f t="shared" si="45"/>
        <v>18775567.98091948</v>
      </c>
      <c r="AJ96" s="207">
        <f t="shared" si="45"/>
        <v>18775567.98091948</v>
      </c>
      <c r="AK96" s="207">
        <f t="shared" ref="AK96:AP96" si="47">SUM(AK93:AK95)</f>
        <v>18775567.98091948</v>
      </c>
      <c r="AL96" s="207">
        <f t="shared" si="47"/>
        <v>18775567.98091948</v>
      </c>
      <c r="AM96" s="207">
        <f t="shared" si="47"/>
        <v>18775567.98091948</v>
      </c>
      <c r="AN96" s="207">
        <f t="shared" si="47"/>
        <v>18775567.98091948</v>
      </c>
      <c r="AO96" s="207">
        <f t="shared" si="47"/>
        <v>18775567.98091948</v>
      </c>
      <c r="AP96" s="207">
        <f t="shared" si="47"/>
        <v>18775567.98091948</v>
      </c>
    </row>
    <row r="97" spans="1:42" x14ac:dyDescent="0.75">
      <c r="B97" s="117" t="s">
        <v>200</v>
      </c>
      <c r="C97" s="113">
        <v>6.4</v>
      </c>
      <c r="J97" s="226" t="s">
        <v>146</v>
      </c>
      <c r="K97" s="227">
        <f>NPV(0.03,N96:AI96)+M96</f>
        <v>176298588.99895543</v>
      </c>
      <c r="L97" s="21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row>
    <row r="98" spans="1:42" x14ac:dyDescent="0.75">
      <c r="B98" s="218" t="s">
        <v>183</v>
      </c>
      <c r="C98" s="195">
        <v>0.24399999999999999</v>
      </c>
      <c r="J98" s="226" t="s">
        <v>147</v>
      </c>
      <c r="K98" s="227">
        <f>NPV(0.07,N96:AI96)+M96</f>
        <v>104362607.63180988</v>
      </c>
      <c r="L98" s="210">
        <f>SUM(N97:AP97)</f>
        <v>0</v>
      </c>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row>
    <row r="99" spans="1:42" x14ac:dyDescent="0.75">
      <c r="K99" s="212" t="s">
        <v>184</v>
      </c>
      <c r="L99" s="132">
        <f t="shared" ref="L99:M99" si="48">L92/$C$97</f>
        <v>0</v>
      </c>
      <c r="M99" s="132">
        <f t="shared" si="48"/>
        <v>0</v>
      </c>
      <c r="N99" s="132">
        <f>N92/$C$97</f>
        <v>0</v>
      </c>
      <c r="O99" s="132">
        <f t="shared" ref="O99:AP99" si="49">O92/$C$97</f>
        <v>0</v>
      </c>
      <c r="P99" s="132">
        <f t="shared" si="49"/>
        <v>0</v>
      </c>
      <c r="Q99" s="132">
        <f t="shared" si="49"/>
        <v>0</v>
      </c>
      <c r="R99" s="132">
        <f t="shared" si="49"/>
        <v>0</v>
      </c>
      <c r="S99" s="132">
        <f t="shared" si="49"/>
        <v>2460485.0543478262</v>
      </c>
      <c r="T99" s="132">
        <f t="shared" si="49"/>
        <v>3044172.5543478262</v>
      </c>
      <c r="U99" s="132">
        <f t="shared" si="49"/>
        <v>3282953.8043478262</v>
      </c>
      <c r="V99" s="132">
        <f t="shared" si="49"/>
        <v>3548266.3043478257</v>
      </c>
      <c r="W99" s="132">
        <f t="shared" si="49"/>
        <v>3813578.8043478257</v>
      </c>
      <c r="X99" s="132">
        <f t="shared" si="49"/>
        <v>4078891.3043478257</v>
      </c>
      <c r="Y99" s="132">
        <f t="shared" si="49"/>
        <v>4213404.7418478262</v>
      </c>
      <c r="Z99" s="132">
        <f t="shared" si="49"/>
        <v>4349263.3137228265</v>
      </c>
      <c r="AA99" s="132">
        <f t="shared" si="49"/>
        <v>4486480.4713165769</v>
      </c>
      <c r="AB99" s="132">
        <f t="shared" si="49"/>
        <v>4625069.8004862648</v>
      </c>
      <c r="AC99" s="132">
        <f t="shared" si="49"/>
        <v>4765045.0229476504</v>
      </c>
      <c r="AD99" s="132">
        <f t="shared" si="49"/>
        <v>4906419.997633649</v>
      </c>
      <c r="AE99" s="132">
        <f t="shared" si="49"/>
        <v>5049208.7220665077</v>
      </c>
      <c r="AF99" s="132">
        <f t="shared" si="49"/>
        <v>5049208.7220665077</v>
      </c>
      <c r="AG99" s="132">
        <f t="shared" si="49"/>
        <v>5049208.7220665077</v>
      </c>
      <c r="AH99" s="132">
        <f t="shared" si="49"/>
        <v>5049208.7220665077</v>
      </c>
      <c r="AI99" s="132">
        <f t="shared" si="49"/>
        <v>5049208.7220665077</v>
      </c>
      <c r="AJ99" s="132">
        <f t="shared" si="49"/>
        <v>5049208.7220665077</v>
      </c>
      <c r="AK99" s="132">
        <f t="shared" si="49"/>
        <v>5049208.7220665077</v>
      </c>
      <c r="AL99" s="132">
        <f t="shared" si="49"/>
        <v>5049208.7220665077</v>
      </c>
      <c r="AM99" s="132">
        <f t="shared" si="49"/>
        <v>5049208.7220665077</v>
      </c>
      <c r="AN99" s="132">
        <f t="shared" si="49"/>
        <v>5049208.7220665077</v>
      </c>
      <c r="AO99" s="132">
        <f t="shared" si="49"/>
        <v>5049208.7220665077</v>
      </c>
      <c r="AP99" s="132">
        <f t="shared" si="49"/>
        <v>5049208.7220665077</v>
      </c>
    </row>
    <row r="100" spans="1:42" x14ac:dyDescent="0.75">
      <c r="K100" s="194" t="s">
        <v>185</v>
      </c>
      <c r="L100" s="144">
        <f>L99*$C$98</f>
        <v>0</v>
      </c>
      <c r="M100" s="144">
        <f t="shared" ref="M100:N100" si="50">M99*$C$98</f>
        <v>0</v>
      </c>
      <c r="N100" s="144">
        <f t="shared" si="50"/>
        <v>0</v>
      </c>
      <c r="O100" s="144">
        <f t="shared" ref="O100" si="51">O99*$C$98</f>
        <v>0</v>
      </c>
      <c r="P100" s="144">
        <f t="shared" ref="P100" si="52">P99*$C$98</f>
        <v>0</v>
      </c>
      <c r="Q100" s="144">
        <f t="shared" ref="Q100" si="53">Q99*$C$98</f>
        <v>0</v>
      </c>
      <c r="R100" s="144">
        <f t="shared" ref="R100" si="54">R99*$C$98</f>
        <v>0</v>
      </c>
      <c r="S100" s="144">
        <f t="shared" ref="S100" si="55">S99*$C$98</f>
        <v>600358.35326086963</v>
      </c>
      <c r="T100" s="144">
        <f t="shared" ref="T100" si="56">T99*$C$98</f>
        <v>742778.10326086963</v>
      </c>
      <c r="U100" s="144">
        <f t="shared" ref="U100" si="57">U99*$C$98</f>
        <v>801040.72826086951</v>
      </c>
      <c r="V100" s="144">
        <f t="shared" ref="V100" si="58">V99*$C$98</f>
        <v>865776.97826086951</v>
      </c>
      <c r="W100" s="144">
        <f t="shared" ref="W100" si="59">W99*$C$98</f>
        <v>930513.22826086939</v>
      </c>
      <c r="X100" s="144">
        <f t="shared" ref="X100" si="60">X99*$C$98</f>
        <v>995249.47826086939</v>
      </c>
      <c r="Y100" s="144">
        <f t="shared" ref="Y100" si="61">Y99*$C$98</f>
        <v>1028070.7570108696</v>
      </c>
      <c r="Z100" s="144">
        <f t="shared" ref="Z100" si="62">Z99*$C$98</f>
        <v>1061220.2485483696</v>
      </c>
      <c r="AA100" s="144">
        <f t="shared" ref="AA100" si="63">AA99*$C$98</f>
        <v>1094701.2350012448</v>
      </c>
      <c r="AB100" s="144">
        <f t="shared" ref="AB100" si="64">AB99*$C$98</f>
        <v>1128517.0313186485</v>
      </c>
      <c r="AC100" s="144">
        <f t="shared" ref="AC100" si="65">AC99*$C$98</f>
        <v>1162670.9855992268</v>
      </c>
      <c r="AD100" s="144">
        <f t="shared" ref="AD100" si="66">AD99*$C$98</f>
        <v>1197166.4794226103</v>
      </c>
      <c r="AE100" s="144">
        <f t="shared" ref="AE100" si="67">AE99*$C$98</f>
        <v>1232006.9281842278</v>
      </c>
      <c r="AF100" s="144">
        <f t="shared" ref="AF100" si="68">AF99*$C$98</f>
        <v>1232006.9281842278</v>
      </c>
      <c r="AG100" s="144">
        <f t="shared" ref="AG100" si="69">AG99*$C$98</f>
        <v>1232006.9281842278</v>
      </c>
      <c r="AH100" s="144">
        <f t="shared" ref="AH100" si="70">AH99*$C$98</f>
        <v>1232006.9281842278</v>
      </c>
      <c r="AI100" s="144">
        <f t="shared" ref="AI100" si="71">AI99*$C$98</f>
        <v>1232006.9281842278</v>
      </c>
      <c r="AJ100" s="144">
        <f t="shared" ref="AJ100" si="72">AJ99*$C$98</f>
        <v>1232006.9281842278</v>
      </c>
      <c r="AK100" s="144">
        <f t="shared" ref="AK100" si="73">AK99*$C$98</f>
        <v>1232006.9281842278</v>
      </c>
      <c r="AL100" s="144">
        <f t="shared" ref="AL100" si="74">AL99*$C$98</f>
        <v>1232006.9281842278</v>
      </c>
      <c r="AM100" s="144">
        <f t="shared" ref="AM100" si="75">AM99*$C$98</f>
        <v>1232006.9281842278</v>
      </c>
      <c r="AN100" s="144">
        <f t="shared" ref="AN100" si="76">AN99*$C$98</f>
        <v>1232006.9281842278</v>
      </c>
      <c r="AO100" s="144">
        <f t="shared" ref="AO100" si="77">AO99*$C$98</f>
        <v>1232006.9281842278</v>
      </c>
      <c r="AP100" s="144">
        <f>AP99*$C$98</f>
        <v>1232006.9281842278</v>
      </c>
    </row>
    <row r="101" spans="1:42" s="64" customFormat="1" x14ac:dyDescent="0.75">
      <c r="B101" s="66" t="s">
        <v>136</v>
      </c>
    </row>
    <row r="102" spans="1:42" x14ac:dyDescent="0.75">
      <c r="A102" s="85"/>
      <c r="B102" s="85"/>
      <c r="C102" s="85"/>
      <c r="D102" s="85"/>
      <c r="E102" s="85"/>
      <c r="F102" s="85"/>
      <c r="G102" s="85"/>
      <c r="H102" s="85"/>
    </row>
    <row r="103" spans="1:42" x14ac:dyDescent="0.75">
      <c r="A103" s="85"/>
      <c r="B103" s="423"/>
      <c r="C103" s="423"/>
      <c r="D103" s="423"/>
      <c r="E103" s="423"/>
      <c r="F103" s="423"/>
      <c r="G103" s="423"/>
      <c r="H103" s="423"/>
      <c r="K103" s="115"/>
      <c r="L103" s="113">
        <f>L91</f>
        <v>2019</v>
      </c>
      <c r="M103" s="113">
        <f t="shared" ref="M103:AP103" si="78">M91</f>
        <v>2020</v>
      </c>
      <c r="N103" s="113">
        <v>2022</v>
      </c>
      <c r="O103" s="113">
        <f>O91</f>
        <v>2022</v>
      </c>
      <c r="P103" s="113">
        <f t="shared" si="78"/>
        <v>2023</v>
      </c>
      <c r="Q103" s="113">
        <f t="shared" si="78"/>
        <v>2024</v>
      </c>
      <c r="R103" s="113">
        <f t="shared" si="78"/>
        <v>2025</v>
      </c>
      <c r="S103" s="113">
        <f t="shared" si="78"/>
        <v>2026</v>
      </c>
      <c r="T103" s="113">
        <f t="shared" si="78"/>
        <v>2027</v>
      </c>
      <c r="U103" s="113">
        <f t="shared" si="78"/>
        <v>2028</v>
      </c>
      <c r="V103" s="113">
        <f t="shared" si="78"/>
        <v>2029</v>
      </c>
      <c r="W103" s="113">
        <f t="shared" si="78"/>
        <v>2030</v>
      </c>
      <c r="X103" s="113">
        <f t="shared" si="78"/>
        <v>2031</v>
      </c>
      <c r="Y103" s="113">
        <f t="shared" si="78"/>
        <v>2032</v>
      </c>
      <c r="Z103" s="113">
        <f t="shared" si="78"/>
        <v>2033</v>
      </c>
      <c r="AA103" s="113">
        <f t="shared" si="78"/>
        <v>2034</v>
      </c>
      <c r="AB103" s="113">
        <f t="shared" si="78"/>
        <v>2035</v>
      </c>
      <c r="AC103" s="113">
        <f t="shared" si="78"/>
        <v>2036</v>
      </c>
      <c r="AD103" s="113">
        <f t="shared" si="78"/>
        <v>2037</v>
      </c>
      <c r="AE103" s="113">
        <f t="shared" si="78"/>
        <v>2038</v>
      </c>
      <c r="AF103" s="113">
        <f t="shared" si="78"/>
        <v>2039</v>
      </c>
      <c r="AG103" s="113">
        <f t="shared" si="78"/>
        <v>2040</v>
      </c>
      <c r="AH103" s="113">
        <f t="shared" si="78"/>
        <v>2041</v>
      </c>
      <c r="AI103" s="113">
        <f t="shared" si="78"/>
        <v>2042</v>
      </c>
      <c r="AJ103" s="113">
        <f t="shared" si="78"/>
        <v>2043</v>
      </c>
      <c r="AK103" s="113">
        <f t="shared" si="78"/>
        <v>2044</v>
      </c>
      <c r="AL103" s="113">
        <f t="shared" si="78"/>
        <v>2045</v>
      </c>
      <c r="AM103" s="113">
        <f t="shared" si="78"/>
        <v>2046</v>
      </c>
      <c r="AN103" s="113">
        <f t="shared" si="78"/>
        <v>2047</v>
      </c>
      <c r="AO103" s="113">
        <f t="shared" si="78"/>
        <v>2048</v>
      </c>
      <c r="AP103" s="113">
        <f t="shared" si="78"/>
        <v>2049</v>
      </c>
    </row>
    <row r="104" spans="1:42" x14ac:dyDescent="0.75">
      <c r="A104" s="85"/>
      <c r="B104" s="312"/>
      <c r="C104" s="250"/>
      <c r="D104" s="313"/>
      <c r="E104" s="313"/>
      <c r="F104" s="313"/>
      <c r="G104" s="314"/>
      <c r="H104" s="314"/>
      <c r="J104" s="68"/>
      <c r="K104" s="113" t="s">
        <v>218</v>
      </c>
      <c r="L104" s="114">
        <f>L27</f>
        <v>0</v>
      </c>
      <c r="M104" s="114">
        <f>M27</f>
        <v>0</v>
      </c>
      <c r="N104" s="114">
        <f>N42</f>
        <v>0</v>
      </c>
      <c r="O104" s="114">
        <f t="shared" ref="O104:AP104" si="79">O42</f>
        <v>0</v>
      </c>
      <c r="P104" s="114">
        <f t="shared" si="79"/>
        <v>0</v>
      </c>
      <c r="Q104" s="114">
        <f t="shared" si="79"/>
        <v>0</v>
      </c>
      <c r="R104" s="114">
        <f t="shared" si="79"/>
        <v>0</v>
      </c>
      <c r="S104" s="114">
        <f t="shared" si="79"/>
        <v>15747104.347826088</v>
      </c>
      <c r="T104" s="114">
        <f t="shared" si="79"/>
        <v>19482704.34782609</v>
      </c>
      <c r="U104" s="114">
        <f t="shared" si="79"/>
        <v>21010904.34782609</v>
      </c>
      <c r="V104" s="114">
        <f t="shared" si="79"/>
        <v>22708904.347826086</v>
      </c>
      <c r="W104" s="114">
        <f t="shared" si="79"/>
        <v>24406904.347826086</v>
      </c>
      <c r="X104" s="114">
        <f t="shared" si="79"/>
        <v>26104904.347826086</v>
      </c>
      <c r="Y104" s="114">
        <f t="shared" si="79"/>
        <v>26965790.34782609</v>
      </c>
      <c r="Z104" s="114">
        <f t="shared" si="79"/>
        <v>27835285.207826093</v>
      </c>
      <c r="AA104" s="114">
        <f t="shared" si="79"/>
        <v>28713475.016426094</v>
      </c>
      <c r="AB104" s="114">
        <f t="shared" si="79"/>
        <v>29600446.723112099</v>
      </c>
      <c r="AC104" s="114">
        <f t="shared" si="79"/>
        <v>30496288.146864962</v>
      </c>
      <c r="AD104" s="114">
        <f t="shared" si="79"/>
        <v>31401087.984855354</v>
      </c>
      <c r="AE104" s="114">
        <f t="shared" si="79"/>
        <v>32314935.821225651</v>
      </c>
      <c r="AF104" s="114">
        <f t="shared" si="79"/>
        <v>32314935.821225651</v>
      </c>
      <c r="AG104" s="114">
        <f t="shared" si="79"/>
        <v>32314935.821225651</v>
      </c>
      <c r="AH104" s="114">
        <f t="shared" si="79"/>
        <v>32314935.821225651</v>
      </c>
      <c r="AI104" s="114">
        <f t="shared" si="79"/>
        <v>32314935.821225651</v>
      </c>
      <c r="AJ104" s="114">
        <f t="shared" si="79"/>
        <v>32314935.821225651</v>
      </c>
      <c r="AK104" s="114">
        <f t="shared" si="79"/>
        <v>32314935.821225651</v>
      </c>
      <c r="AL104" s="114">
        <f t="shared" si="79"/>
        <v>32314935.821225651</v>
      </c>
      <c r="AM104" s="114">
        <f t="shared" si="79"/>
        <v>32314935.821225651</v>
      </c>
      <c r="AN104" s="114">
        <f t="shared" si="79"/>
        <v>32314935.821225651</v>
      </c>
      <c r="AO104" s="114">
        <f t="shared" si="79"/>
        <v>32314935.821225651</v>
      </c>
      <c r="AP104" s="114">
        <f t="shared" si="79"/>
        <v>32314935.821225651</v>
      </c>
    </row>
    <row r="105" spans="1:42" ht="15.5" thickBot="1" x14ac:dyDescent="0.9">
      <c r="A105" s="85"/>
      <c r="B105" s="315"/>
      <c r="C105" s="85"/>
      <c r="D105" s="251"/>
      <c r="E105" s="316"/>
      <c r="F105" s="252"/>
      <c r="G105" s="221"/>
      <c r="H105" s="221"/>
      <c r="J105" s="75"/>
      <c r="K105" s="113" t="s">
        <v>219</v>
      </c>
      <c r="L105" s="114">
        <f>L27/$D$43*$D$40*2/40</f>
        <v>0</v>
      </c>
      <c r="M105" s="114">
        <f>M27/$D$43*$D$40*2/40</f>
        <v>0</v>
      </c>
      <c r="N105" s="114">
        <f>N104/$D$111</f>
        <v>0</v>
      </c>
      <c r="O105" s="114">
        <f t="shared" ref="O105:AP105" si="80">O104/$D$111</f>
        <v>0</v>
      </c>
      <c r="P105" s="114">
        <f t="shared" si="80"/>
        <v>0</v>
      </c>
      <c r="Q105" s="114">
        <f t="shared" si="80"/>
        <v>0</v>
      </c>
      <c r="R105" s="114">
        <f t="shared" si="80"/>
        <v>0</v>
      </c>
      <c r="S105" s="114">
        <f t="shared" si="80"/>
        <v>393677.60869565222</v>
      </c>
      <c r="T105" s="114">
        <f t="shared" si="80"/>
        <v>487067.60869565222</v>
      </c>
      <c r="U105" s="114">
        <f t="shared" si="80"/>
        <v>525272.60869565222</v>
      </c>
      <c r="V105" s="114">
        <f t="shared" si="80"/>
        <v>567722.6086956521</v>
      </c>
      <c r="W105" s="114">
        <f t="shared" si="80"/>
        <v>610172.6086956521</v>
      </c>
      <c r="X105" s="114">
        <f t="shared" si="80"/>
        <v>652622.6086956521</v>
      </c>
      <c r="Y105" s="114">
        <f t="shared" si="80"/>
        <v>674144.75869565224</v>
      </c>
      <c r="Z105" s="114">
        <f t="shared" si="80"/>
        <v>695882.13019565237</v>
      </c>
      <c r="AA105" s="114">
        <f t="shared" si="80"/>
        <v>717836.87541065237</v>
      </c>
      <c r="AB105" s="114">
        <f t="shared" si="80"/>
        <v>740011.16807780252</v>
      </c>
      <c r="AC105" s="114">
        <f t="shared" si="80"/>
        <v>762407.20367162407</v>
      </c>
      <c r="AD105" s="114">
        <f t="shared" si="80"/>
        <v>785027.1996213838</v>
      </c>
      <c r="AE105" s="114">
        <f t="shared" si="80"/>
        <v>807873.39553064131</v>
      </c>
      <c r="AF105" s="114">
        <f t="shared" si="80"/>
        <v>807873.39553064131</v>
      </c>
      <c r="AG105" s="114">
        <f t="shared" si="80"/>
        <v>807873.39553064131</v>
      </c>
      <c r="AH105" s="114">
        <f t="shared" si="80"/>
        <v>807873.39553064131</v>
      </c>
      <c r="AI105" s="114">
        <f t="shared" si="80"/>
        <v>807873.39553064131</v>
      </c>
      <c r="AJ105" s="114">
        <f t="shared" si="80"/>
        <v>807873.39553064131</v>
      </c>
      <c r="AK105" s="114">
        <f t="shared" si="80"/>
        <v>807873.39553064131</v>
      </c>
      <c r="AL105" s="114">
        <f t="shared" si="80"/>
        <v>807873.39553064131</v>
      </c>
      <c r="AM105" s="114">
        <f t="shared" si="80"/>
        <v>807873.39553064131</v>
      </c>
      <c r="AN105" s="114">
        <f t="shared" si="80"/>
        <v>807873.39553064131</v>
      </c>
      <c r="AO105" s="114">
        <f t="shared" si="80"/>
        <v>807873.39553064131</v>
      </c>
      <c r="AP105" s="114">
        <f t="shared" si="80"/>
        <v>807873.39553064131</v>
      </c>
    </row>
    <row r="106" spans="1:42" ht="15.5" thickBot="1" x14ac:dyDescent="0.9">
      <c r="A106" s="85"/>
      <c r="B106" s="315"/>
      <c r="C106" s="85"/>
      <c r="D106" s="251"/>
      <c r="E106" s="316"/>
      <c r="F106" s="252"/>
      <c r="G106" s="316"/>
      <c r="H106" s="221"/>
      <c r="J106" s="268" t="s">
        <v>267</v>
      </c>
      <c r="K106" s="210" t="s">
        <v>190</v>
      </c>
      <c r="L106" s="127">
        <f>D110*L104*D40</f>
        <v>0</v>
      </c>
      <c r="M106" s="127">
        <f>M104*$D$40*$D$110</f>
        <v>0</v>
      </c>
      <c r="N106" s="127">
        <f>N104*$D$110</f>
        <v>0</v>
      </c>
      <c r="O106" s="127">
        <f>O104*$D$110</f>
        <v>0</v>
      </c>
      <c r="P106" s="127">
        <f t="shared" ref="P106:AP106" si="81">P104*$D$110</f>
        <v>0</v>
      </c>
      <c r="Q106" s="127">
        <f t="shared" si="81"/>
        <v>0</v>
      </c>
      <c r="R106" s="127">
        <f t="shared" si="81"/>
        <v>0</v>
      </c>
      <c r="S106" s="127">
        <f t="shared" si="81"/>
        <v>14802278.086956521</v>
      </c>
      <c r="T106" s="127">
        <f t="shared" si="81"/>
        <v>18313742.086956523</v>
      </c>
      <c r="U106" s="127">
        <f t="shared" si="81"/>
        <v>19750250.086956523</v>
      </c>
      <c r="V106" s="127">
        <f t="shared" si="81"/>
        <v>21346370.08695652</v>
      </c>
      <c r="W106" s="127">
        <f t="shared" si="81"/>
        <v>22942490.08695652</v>
      </c>
      <c r="X106" s="127">
        <f t="shared" si="81"/>
        <v>24538610.08695652</v>
      </c>
      <c r="Y106" s="127">
        <f t="shared" si="81"/>
        <v>25347842.926956523</v>
      </c>
      <c r="Z106" s="127">
        <f t="shared" si="81"/>
        <v>26165168.095356524</v>
      </c>
      <c r="AA106" s="127">
        <f t="shared" si="81"/>
        <v>26990666.515440527</v>
      </c>
      <c r="AB106" s="127">
        <f t="shared" si="81"/>
        <v>27824419.91972537</v>
      </c>
      <c r="AC106" s="127">
        <f t="shared" si="81"/>
        <v>28666510.858053062</v>
      </c>
      <c r="AD106" s="127">
        <f t="shared" si="81"/>
        <v>29517022.705764029</v>
      </c>
      <c r="AE106" s="127">
        <f t="shared" si="81"/>
        <v>30376039.67195211</v>
      </c>
      <c r="AF106" s="127">
        <f t="shared" si="81"/>
        <v>30376039.67195211</v>
      </c>
      <c r="AG106" s="127">
        <f t="shared" si="81"/>
        <v>30376039.67195211</v>
      </c>
      <c r="AH106" s="127">
        <f t="shared" si="81"/>
        <v>30376039.67195211</v>
      </c>
      <c r="AI106" s="127">
        <f t="shared" si="81"/>
        <v>30376039.67195211</v>
      </c>
      <c r="AJ106" s="127">
        <f t="shared" si="81"/>
        <v>30376039.67195211</v>
      </c>
      <c r="AK106" s="127">
        <f t="shared" si="81"/>
        <v>30376039.67195211</v>
      </c>
      <c r="AL106" s="127">
        <f t="shared" si="81"/>
        <v>30376039.67195211</v>
      </c>
      <c r="AM106" s="127">
        <f t="shared" si="81"/>
        <v>30376039.67195211</v>
      </c>
      <c r="AN106" s="127">
        <f t="shared" si="81"/>
        <v>30376039.67195211</v>
      </c>
      <c r="AO106" s="127">
        <f t="shared" si="81"/>
        <v>30376039.67195211</v>
      </c>
      <c r="AP106" s="127">
        <f t="shared" si="81"/>
        <v>30376039.67195211</v>
      </c>
    </row>
    <row r="107" spans="1:42" ht="44.25" x14ac:dyDescent="0.75">
      <c r="A107" s="85"/>
      <c r="B107" s="315"/>
      <c r="C107" s="85"/>
      <c r="D107" s="251"/>
      <c r="E107" s="316"/>
      <c r="F107" s="252"/>
      <c r="G107" s="221"/>
      <c r="H107" s="221"/>
      <c r="J107" s="310" t="s">
        <v>220</v>
      </c>
      <c r="K107" s="210" t="s">
        <v>191</v>
      </c>
      <c r="L107" s="127"/>
      <c r="M107" s="127"/>
      <c r="N107" s="127">
        <f>N105*$D$112</f>
        <v>0</v>
      </c>
      <c r="O107" s="127">
        <f t="shared" ref="O107:AP107" si="82">O105*$D$112</f>
        <v>0</v>
      </c>
      <c r="P107" s="127">
        <f t="shared" si="82"/>
        <v>0</v>
      </c>
      <c r="Q107" s="127">
        <f t="shared" si="82"/>
        <v>0</v>
      </c>
      <c r="R107" s="127">
        <f t="shared" si="82"/>
        <v>0</v>
      </c>
      <c r="S107" s="127">
        <f t="shared" si="82"/>
        <v>12597683.478260871</v>
      </c>
      <c r="T107" s="127">
        <f t="shared" si="82"/>
        <v>15586163.478260871</v>
      </c>
      <c r="U107" s="127">
        <f t="shared" si="82"/>
        <v>16808723.478260871</v>
      </c>
      <c r="V107" s="127">
        <f t="shared" si="82"/>
        <v>18167123.478260867</v>
      </c>
      <c r="W107" s="127">
        <f t="shared" si="82"/>
        <v>19525523.478260867</v>
      </c>
      <c r="X107" s="127">
        <f t="shared" si="82"/>
        <v>20883923.478260867</v>
      </c>
      <c r="Y107" s="127">
        <f t="shared" si="82"/>
        <v>21572632.278260872</v>
      </c>
      <c r="Z107" s="127">
        <f t="shared" si="82"/>
        <v>22268228.166260876</v>
      </c>
      <c r="AA107" s="127">
        <f t="shared" si="82"/>
        <v>22970780.013140876</v>
      </c>
      <c r="AB107" s="127">
        <f t="shared" si="82"/>
        <v>23680357.378489681</v>
      </c>
      <c r="AC107" s="127">
        <f t="shared" si="82"/>
        <v>24397030.51749197</v>
      </c>
      <c r="AD107" s="127">
        <f t="shared" si="82"/>
        <v>25120870.387884282</v>
      </c>
      <c r="AE107" s="127">
        <f t="shared" si="82"/>
        <v>25851948.656980522</v>
      </c>
      <c r="AF107" s="127">
        <f t="shared" si="82"/>
        <v>25851948.656980522</v>
      </c>
      <c r="AG107" s="127">
        <f t="shared" si="82"/>
        <v>25851948.656980522</v>
      </c>
      <c r="AH107" s="127">
        <f t="shared" si="82"/>
        <v>25851948.656980522</v>
      </c>
      <c r="AI107" s="127">
        <f t="shared" si="82"/>
        <v>25851948.656980522</v>
      </c>
      <c r="AJ107" s="127">
        <f t="shared" si="82"/>
        <v>25851948.656980522</v>
      </c>
      <c r="AK107" s="127">
        <f t="shared" si="82"/>
        <v>25851948.656980522</v>
      </c>
      <c r="AL107" s="127">
        <f t="shared" si="82"/>
        <v>25851948.656980522</v>
      </c>
      <c r="AM107" s="127">
        <f t="shared" si="82"/>
        <v>25851948.656980522</v>
      </c>
      <c r="AN107" s="127">
        <f t="shared" si="82"/>
        <v>25851948.656980522</v>
      </c>
      <c r="AO107" s="127">
        <f t="shared" si="82"/>
        <v>25851948.656980522</v>
      </c>
      <c r="AP107" s="127">
        <f t="shared" si="82"/>
        <v>25851948.656980522</v>
      </c>
    </row>
    <row r="108" spans="1:42" ht="15.5" thickBot="1" x14ac:dyDescent="0.9">
      <c r="A108" s="85"/>
      <c r="B108" s="88"/>
      <c r="C108" s="88"/>
      <c r="D108" s="317"/>
      <c r="E108" s="317"/>
      <c r="F108" s="318"/>
      <c r="G108" s="317"/>
      <c r="H108" s="319"/>
      <c r="J108" s="311"/>
      <c r="K108" s="223" t="s">
        <v>221</v>
      </c>
      <c r="L108" s="127">
        <f>L104*$H$108</f>
        <v>0</v>
      </c>
      <c r="M108" s="127">
        <f t="shared" ref="M108" si="83">M104*$H$108</f>
        <v>0</v>
      </c>
      <c r="N108" s="127">
        <f>N107+N106</f>
        <v>0</v>
      </c>
      <c r="O108" s="127">
        <f t="shared" ref="O108:AP108" si="84">O107+O106</f>
        <v>0</v>
      </c>
      <c r="P108" s="127">
        <f t="shared" si="84"/>
        <v>0</v>
      </c>
      <c r="Q108" s="127">
        <f t="shared" si="84"/>
        <v>0</v>
      </c>
      <c r="R108" s="127">
        <f t="shared" si="84"/>
        <v>0</v>
      </c>
      <c r="S108" s="127">
        <f t="shared" si="84"/>
        <v>27399961.565217391</v>
      </c>
      <c r="T108" s="127">
        <f t="shared" si="84"/>
        <v>33899905.565217391</v>
      </c>
      <c r="U108" s="127">
        <f t="shared" si="84"/>
        <v>36558973.565217391</v>
      </c>
      <c r="V108" s="127">
        <f t="shared" si="84"/>
        <v>39513493.565217391</v>
      </c>
      <c r="W108" s="127">
        <f t="shared" si="84"/>
        <v>42468013.565217391</v>
      </c>
      <c r="X108" s="127">
        <f t="shared" si="84"/>
        <v>45422533.565217391</v>
      </c>
      <c r="Y108" s="127">
        <f t="shared" si="84"/>
        <v>46920475.205217391</v>
      </c>
      <c r="Z108" s="127">
        <f t="shared" si="84"/>
        <v>48433396.2616174</v>
      </c>
      <c r="AA108" s="127">
        <f t="shared" si="84"/>
        <v>49961446.528581403</v>
      </c>
      <c r="AB108" s="127">
        <f t="shared" si="84"/>
        <v>51504777.298215047</v>
      </c>
      <c r="AC108" s="127">
        <f t="shared" si="84"/>
        <v>53063541.375545032</v>
      </c>
      <c r="AD108" s="127">
        <f t="shared" si="84"/>
        <v>54637893.093648314</v>
      </c>
      <c r="AE108" s="127">
        <f t="shared" si="84"/>
        <v>56227988.328932628</v>
      </c>
      <c r="AF108" s="127">
        <f t="shared" si="84"/>
        <v>56227988.328932628</v>
      </c>
      <c r="AG108" s="127">
        <f t="shared" si="84"/>
        <v>56227988.328932628</v>
      </c>
      <c r="AH108" s="127">
        <f t="shared" si="84"/>
        <v>56227988.328932628</v>
      </c>
      <c r="AI108" s="127">
        <f t="shared" si="84"/>
        <v>56227988.328932628</v>
      </c>
      <c r="AJ108" s="127">
        <f t="shared" si="84"/>
        <v>56227988.328932628</v>
      </c>
      <c r="AK108" s="127">
        <f t="shared" si="84"/>
        <v>56227988.328932628</v>
      </c>
      <c r="AL108" s="127">
        <f t="shared" si="84"/>
        <v>56227988.328932628</v>
      </c>
      <c r="AM108" s="127">
        <f t="shared" si="84"/>
        <v>56227988.328932628</v>
      </c>
      <c r="AN108" s="127">
        <f t="shared" si="84"/>
        <v>56227988.328932628</v>
      </c>
      <c r="AO108" s="127">
        <f t="shared" si="84"/>
        <v>56227988.328932628</v>
      </c>
      <c r="AP108" s="127">
        <f t="shared" si="84"/>
        <v>56227988.328932628</v>
      </c>
    </row>
    <row r="109" spans="1:42" ht="15.5" thickBot="1" x14ac:dyDescent="0.9">
      <c r="B109" s="323"/>
      <c r="C109" s="324"/>
      <c r="D109" s="325"/>
      <c r="J109" s="311"/>
      <c r="K109" s="223"/>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row>
    <row r="110" spans="1:42" x14ac:dyDescent="0.75">
      <c r="B110" s="320" t="s">
        <v>244</v>
      </c>
      <c r="C110" s="321"/>
      <c r="D110" s="322">
        <f>'Benefits Metrics '!I122</f>
        <v>0.94</v>
      </c>
      <c r="E110" s="68">
        <v>1100</v>
      </c>
      <c r="F110" s="68">
        <f>E110/11</f>
        <v>100</v>
      </c>
      <c r="L110" s="69"/>
    </row>
    <row r="111" spans="1:42" x14ac:dyDescent="0.75">
      <c r="B111" s="134" t="s">
        <v>194</v>
      </c>
      <c r="C111" s="133"/>
      <c r="D111" s="135">
        <v>40</v>
      </c>
      <c r="F111">
        <f>156/40</f>
        <v>3.9</v>
      </c>
      <c r="J111" s="226" t="s">
        <v>148</v>
      </c>
      <c r="K111" s="227">
        <f>NPV(0.03,N108:AI108)+M108</f>
        <v>527968848.38394642</v>
      </c>
      <c r="L111" s="69"/>
      <c r="M111" s="69"/>
      <c r="N111" s="69"/>
    </row>
    <row r="112" spans="1:42" x14ac:dyDescent="0.75">
      <c r="B112" s="219" t="s">
        <v>188</v>
      </c>
      <c r="C112" s="220"/>
      <c r="D112" s="197">
        <f>'Benefits Metrics '!I119</f>
        <v>32</v>
      </c>
      <c r="J112" s="226"/>
      <c r="K112" s="227"/>
      <c r="L112" s="69"/>
      <c r="M112" s="69"/>
      <c r="N112" s="69"/>
    </row>
    <row r="113" spans="2:15" s="65" customFormat="1" x14ac:dyDescent="0.75">
      <c r="B113" s="65" t="s">
        <v>123</v>
      </c>
      <c r="J113" s="226" t="s">
        <v>149</v>
      </c>
      <c r="K113" s="227">
        <f>NPV(0.07,N108:AI108)+M108</f>
        <v>312539119.44830579</v>
      </c>
    </row>
    <row r="114" spans="2:15" ht="15.5" thickBot="1" x14ac:dyDescent="0.9">
      <c r="O114" s="68">
        <f>100*O105</f>
        <v>0</v>
      </c>
    </row>
    <row r="115" spans="2:15" x14ac:dyDescent="0.75">
      <c r="J115" s="77" t="s">
        <v>142</v>
      </c>
      <c r="K115" s="81" t="s">
        <v>145</v>
      </c>
      <c r="L115" s="81" t="s">
        <v>143</v>
      </c>
    </row>
    <row r="116" spans="2:15" x14ac:dyDescent="0.75">
      <c r="J116" s="82" t="s">
        <v>124</v>
      </c>
      <c r="K116" s="83">
        <f>K74</f>
        <v>521874942.07659626</v>
      </c>
      <c r="L116" s="84">
        <f>K123</f>
        <v>327152713.37965804</v>
      </c>
      <c r="M116">
        <f>L116/K116</f>
        <v>0.62687952036532424</v>
      </c>
      <c r="N116" s="69"/>
    </row>
    <row r="117" spans="2:15" x14ac:dyDescent="0.75">
      <c r="D117" s="171"/>
      <c r="J117" s="82" t="s">
        <v>125</v>
      </c>
      <c r="K117" s="168">
        <f>K85</f>
        <v>115209326.61300102</v>
      </c>
      <c r="L117" s="168">
        <f>K124</f>
        <v>68199897.781989023</v>
      </c>
      <c r="M117">
        <f t="shared" ref="M117:M120" si="85">L117/K117</f>
        <v>0.59196507597929904</v>
      </c>
      <c r="N117" s="69"/>
      <c r="O117" s="71">
        <f>2.73*O104</f>
        <v>0</v>
      </c>
    </row>
    <row r="118" spans="2:15" x14ac:dyDescent="0.75">
      <c r="G118" s="89"/>
      <c r="H118" s="208"/>
      <c r="J118" s="82" t="s">
        <v>126</v>
      </c>
      <c r="K118" s="168">
        <f>K97</f>
        <v>176298588.99895543</v>
      </c>
      <c r="L118" s="168">
        <f>K125</f>
        <v>104362607.63180988</v>
      </c>
      <c r="M118">
        <f t="shared" si="85"/>
        <v>0.59196507597929915</v>
      </c>
      <c r="N118" s="69"/>
    </row>
    <row r="119" spans="2:15" x14ac:dyDescent="0.75">
      <c r="D119" s="172"/>
      <c r="G119" s="89"/>
      <c r="H119" s="208"/>
      <c r="J119" s="82" t="s">
        <v>140</v>
      </c>
      <c r="K119" s="168">
        <f>K111</f>
        <v>527968848.38394642</v>
      </c>
      <c r="L119" s="168">
        <f>K126</f>
        <v>312539119.44830579</v>
      </c>
      <c r="M119">
        <f t="shared" si="85"/>
        <v>0.59196507597929893</v>
      </c>
      <c r="N119" s="69"/>
    </row>
    <row r="120" spans="2:15" ht="15.5" thickBot="1" x14ac:dyDescent="0.9">
      <c r="J120" s="76" t="s">
        <v>127</v>
      </c>
      <c r="K120" s="169">
        <f>SUM(K116:K119)</f>
        <v>1341351706.072499</v>
      </c>
      <c r="L120" s="169">
        <f>K127</f>
        <v>812254338.24176276</v>
      </c>
      <c r="M120">
        <f t="shared" si="85"/>
        <v>0.60554911479559492</v>
      </c>
      <c r="N120" s="69"/>
    </row>
    <row r="121" spans="2:15" ht="15.5" thickBot="1" x14ac:dyDescent="0.9">
      <c r="E121" s="75"/>
      <c r="L121" s="69"/>
    </row>
    <row r="122" spans="2:15" x14ac:dyDescent="0.75">
      <c r="E122" s="92"/>
      <c r="J122" s="77" t="s">
        <v>135</v>
      </c>
      <c r="K122" s="81" t="s">
        <v>141</v>
      </c>
    </row>
    <row r="123" spans="2:15" x14ac:dyDescent="0.75">
      <c r="J123" s="82" t="s">
        <v>124</v>
      </c>
      <c r="K123" s="168">
        <f>K75</f>
        <v>327152713.37965804</v>
      </c>
      <c r="N123" s="75"/>
    </row>
    <row r="124" spans="2:15" x14ac:dyDescent="0.75">
      <c r="J124" s="82" t="s">
        <v>125</v>
      </c>
      <c r="K124" s="168">
        <f>K86</f>
        <v>68199897.781989023</v>
      </c>
      <c r="M124" s="69"/>
    </row>
    <row r="125" spans="2:15" x14ac:dyDescent="0.75">
      <c r="J125" s="82" t="s">
        <v>126</v>
      </c>
      <c r="K125" s="168">
        <f>K98</f>
        <v>104362607.63180988</v>
      </c>
    </row>
    <row r="126" spans="2:15" x14ac:dyDescent="0.75">
      <c r="J126" s="82" t="s">
        <v>140</v>
      </c>
      <c r="K126" s="168">
        <f>K113</f>
        <v>312539119.44830579</v>
      </c>
    </row>
    <row r="127" spans="2:15" ht="15.5" thickBot="1" x14ac:dyDescent="0.9">
      <c r="J127" s="76" t="s">
        <v>127</v>
      </c>
      <c r="K127" s="169">
        <f>SUM(K123:K126)</f>
        <v>812254338.24176276</v>
      </c>
    </row>
  </sheetData>
  <mergeCells count="8">
    <mergeCell ref="B103:H103"/>
    <mergeCell ref="A1:C1"/>
    <mergeCell ref="A7:C7"/>
    <mergeCell ref="A9:D9"/>
    <mergeCell ref="A11:B11"/>
    <mergeCell ref="A13:B13"/>
    <mergeCell ref="A14:D14"/>
    <mergeCell ref="A15:D15"/>
  </mergeCells>
  <pageMargins left="0.7" right="0.7" top="0.75" bottom="0.75" header="0.3" footer="0.3"/>
  <pageSetup orientation="portrait" horizontalDpi="4294967293" verticalDpi="4294967293" r:id="rId1"/>
  <ignoredErrors>
    <ignoredError sqref="L8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14"/>
  <sheetViews>
    <sheetView showGridLines="0" workbookViewId="0">
      <selection activeCell="B11" sqref="B11:D14"/>
    </sheetView>
  </sheetViews>
  <sheetFormatPr defaultRowHeight="14.75" x14ac:dyDescent="0.75"/>
  <cols>
    <col min="2" max="2" width="35.76953125" customWidth="1"/>
    <col min="3" max="3" width="13.2265625" hidden="1" customWidth="1"/>
    <col min="4" max="4" width="13.81640625" bestFit="1" customWidth="1"/>
    <col min="6" max="6" width="26.2265625" bestFit="1" customWidth="1"/>
    <col min="7" max="13" width="12.6796875" customWidth="1"/>
    <col min="14" max="14" width="16.453125" bestFit="1" customWidth="1"/>
  </cols>
  <sheetData>
    <row r="2" spans="2:14" x14ac:dyDescent="0.75">
      <c r="G2" s="85"/>
      <c r="H2" s="85"/>
      <c r="I2" s="85"/>
      <c r="J2" s="85"/>
      <c r="K2" s="85"/>
      <c r="L2" s="85"/>
      <c r="M2" s="85"/>
    </row>
    <row r="3" spans="2:14" ht="15.5" thickBot="1" x14ac:dyDescent="0.9">
      <c r="B3" t="s">
        <v>283</v>
      </c>
      <c r="F3" t="s">
        <v>245</v>
      </c>
      <c r="G3" s="89"/>
      <c r="H3" s="85"/>
      <c r="I3" s="85"/>
      <c r="J3" s="85"/>
      <c r="K3" s="85"/>
      <c r="L3" s="85"/>
      <c r="M3" s="101"/>
    </row>
    <row r="4" spans="2:14" x14ac:dyDescent="0.75">
      <c r="B4" s="77" t="str">
        <f>'YARD EXPANSION'!J115</f>
        <v>BENEFIT CATEGORIES</v>
      </c>
      <c r="C4" s="352" t="str">
        <f>'YARD EXPANSION'!K115</f>
        <v>3% DISCOUNT</v>
      </c>
      <c r="D4" s="353" t="s">
        <v>243</v>
      </c>
      <c r="F4" s="350"/>
      <c r="G4" s="89"/>
      <c r="H4" s="351"/>
      <c r="I4" s="89"/>
      <c r="J4" s="89"/>
      <c r="K4" s="85"/>
      <c r="L4" s="85"/>
      <c r="M4" s="101"/>
      <c r="N4" s="68"/>
    </row>
    <row r="5" spans="2:14" x14ac:dyDescent="0.75">
      <c r="B5" s="80" t="str">
        <f>'YARD EXPANSION'!J116</f>
        <v>EMISSIONS</v>
      </c>
      <c r="C5" s="354">
        <f>'YARD EXPANSION'!K116</f>
        <v>521874942.07659626</v>
      </c>
      <c r="D5" s="355">
        <f>'YARD EXPANSION'!K123</f>
        <v>327152713.37965804</v>
      </c>
      <c r="E5" s="71"/>
      <c r="F5" s="71"/>
      <c r="G5" s="433"/>
      <c r="H5" s="433"/>
      <c r="I5" s="433"/>
      <c r="J5" s="433"/>
      <c r="K5" s="433"/>
      <c r="L5" s="433"/>
      <c r="M5" s="433"/>
    </row>
    <row r="6" spans="2:14" x14ac:dyDescent="0.75">
      <c r="B6" s="80" t="str">
        <f>'YARD EXPANSION'!J117</f>
        <v>SAFETY</v>
      </c>
      <c r="C6" s="354">
        <f>'YARD EXPANSION'!K117</f>
        <v>115209326.61300102</v>
      </c>
      <c r="D6" s="355">
        <f>'YARD EXPANSION'!K124</f>
        <v>68199897.781989023</v>
      </c>
      <c r="E6" s="71"/>
      <c r="F6" s="71"/>
      <c r="G6" s="432"/>
      <c r="H6" s="432"/>
      <c r="I6" s="432"/>
      <c r="J6" s="432"/>
      <c r="K6" s="432"/>
      <c r="L6" s="432"/>
      <c r="M6" s="345"/>
    </row>
    <row r="7" spans="2:14" x14ac:dyDescent="0.75">
      <c r="B7" s="80" t="str">
        <f>'YARD EXPANSION'!J118</f>
        <v>EXTERNAL TRUCK</v>
      </c>
      <c r="C7" s="354">
        <f>'YARD EXPANSION'!K118</f>
        <v>176298588.99895543</v>
      </c>
      <c r="D7" s="355">
        <f>'YARD EXPANSION'!K125</f>
        <v>104362607.63180988</v>
      </c>
      <c r="E7" s="71"/>
      <c r="F7" s="71"/>
      <c r="G7" s="346"/>
      <c r="H7" s="346"/>
      <c r="I7" s="346"/>
      <c r="J7" s="346"/>
      <c r="K7" s="346"/>
      <c r="L7" s="346"/>
      <c r="M7" s="345"/>
    </row>
    <row r="8" spans="2:14" x14ac:dyDescent="0.75">
      <c r="B8" s="80" t="str">
        <f>'YARD EXPANSION'!J119</f>
        <v>ECONOMIC COMPETITIVENESS</v>
      </c>
      <c r="C8" s="354">
        <f>'YARD EXPANSION'!K119</f>
        <v>527968848.38394642</v>
      </c>
      <c r="D8" s="355">
        <f>'YARD EXPANSION'!K126</f>
        <v>312539119.44830579</v>
      </c>
      <c r="E8" s="71"/>
      <c r="F8" s="362">
        <f>C9/F9</f>
        <v>18.126374406385121</v>
      </c>
      <c r="G8" s="363">
        <f>D9/F9</f>
        <v>10.976409976240037</v>
      </c>
      <c r="H8" s="346"/>
      <c r="I8" s="346"/>
      <c r="J8" s="346"/>
      <c r="K8" s="346"/>
      <c r="L8" s="346"/>
      <c r="M8" s="347"/>
    </row>
    <row r="9" spans="2:14" ht="15.5" thickBot="1" x14ac:dyDescent="0.9">
      <c r="B9" s="278" t="str">
        <f>'YARD EXPANSION'!J120</f>
        <v>TOTAL BENEFITS</v>
      </c>
      <c r="C9" s="356">
        <f>'YARD EXPANSION'!K120</f>
        <v>1341351706.072499</v>
      </c>
      <c r="D9" s="357">
        <f>'YARD EXPANSION'!K127</f>
        <v>812254338.24176276</v>
      </c>
      <c r="E9" s="71"/>
      <c r="F9" s="71">
        <v>74000000</v>
      </c>
      <c r="G9" s="348"/>
      <c r="H9" s="348"/>
      <c r="I9" s="348"/>
      <c r="J9" s="348"/>
      <c r="K9" s="349"/>
      <c r="L9" s="349"/>
      <c r="M9" s="348"/>
    </row>
    <row r="10" spans="2:14" ht="15.5" thickBot="1" x14ac:dyDescent="0.9">
      <c r="C10" s="71"/>
      <c r="D10" s="71"/>
      <c r="E10" s="71"/>
      <c r="F10" s="71"/>
      <c r="G10" s="348"/>
      <c r="H10" s="348"/>
      <c r="I10" s="348"/>
      <c r="J10" s="348"/>
      <c r="K10" s="349"/>
      <c r="L10" s="349"/>
      <c r="M10" s="348"/>
    </row>
    <row r="11" spans="2:14" ht="15.5" thickBot="1" x14ac:dyDescent="0.9">
      <c r="B11" s="414" t="s">
        <v>287</v>
      </c>
      <c r="C11" s="415"/>
      <c r="D11" s="416"/>
    </row>
    <row r="12" spans="2:14" x14ac:dyDescent="0.75">
      <c r="B12" s="412" t="s">
        <v>284</v>
      </c>
      <c r="C12" s="60"/>
      <c r="D12" s="355">
        <f>D9</f>
        <v>812254338.24176276</v>
      </c>
    </row>
    <row r="13" spans="2:14" x14ac:dyDescent="0.75">
      <c r="B13" s="412" t="s">
        <v>285</v>
      </c>
      <c r="C13" s="60"/>
      <c r="D13" s="411">
        <f>'COST SCHEDULE'!A25</f>
        <v>52511137.914272271</v>
      </c>
    </row>
    <row r="14" spans="2:14" ht="15.5" thickBot="1" x14ac:dyDescent="0.9">
      <c r="B14" s="413" t="s">
        <v>286</v>
      </c>
      <c r="C14" s="61"/>
      <c r="D14" s="417">
        <f>D12/D13</f>
        <v>15.468229608122737</v>
      </c>
    </row>
  </sheetData>
  <mergeCells count="2">
    <mergeCell ref="G6:L6"/>
    <mergeCell ref="G5:M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758D-201D-4525-95FB-1D28C04C0CA6}">
  <dimension ref="A2:AF31"/>
  <sheetViews>
    <sheetView topLeftCell="A10" workbookViewId="0">
      <selection activeCell="A26" sqref="A26"/>
    </sheetView>
  </sheetViews>
  <sheetFormatPr defaultRowHeight="14.75" x14ac:dyDescent="0.75"/>
  <cols>
    <col min="1" max="4" width="27.54296875" customWidth="1"/>
    <col min="24" max="24" width="8.7265625" style="301"/>
  </cols>
  <sheetData>
    <row r="2" spans="1:32" x14ac:dyDescent="0.75">
      <c r="A2" s="434" t="s">
        <v>272</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row>
    <row r="3" spans="1:32" x14ac:dyDescent="0.75">
      <c r="A3" s="434" t="s">
        <v>273</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row>
    <row r="5" spans="1:32" x14ac:dyDescent="0.75">
      <c r="B5">
        <v>2020</v>
      </c>
      <c r="C5">
        <v>2021</v>
      </c>
      <c r="D5">
        <v>2022</v>
      </c>
      <c r="E5" s="399">
        <v>2023</v>
      </c>
      <c r="F5" s="399">
        <v>2024</v>
      </c>
      <c r="G5" s="399">
        <v>2025</v>
      </c>
      <c r="H5" s="399">
        <v>2026</v>
      </c>
      <c r="I5" s="399">
        <v>2027</v>
      </c>
      <c r="J5" s="399">
        <v>2028</v>
      </c>
      <c r="K5" s="399">
        <v>2029</v>
      </c>
      <c r="L5" s="399">
        <v>2030</v>
      </c>
      <c r="M5" s="399">
        <v>2031</v>
      </c>
      <c r="N5" s="399">
        <v>2032</v>
      </c>
      <c r="O5" s="399">
        <v>2033</v>
      </c>
      <c r="P5" s="399">
        <v>2034</v>
      </c>
      <c r="Q5" s="399">
        <v>2035</v>
      </c>
      <c r="R5" s="399">
        <v>2036</v>
      </c>
      <c r="S5" s="399">
        <v>2027</v>
      </c>
      <c r="T5" s="399">
        <v>2038</v>
      </c>
      <c r="U5" s="399">
        <v>2039</v>
      </c>
      <c r="V5" s="399">
        <v>2040</v>
      </c>
      <c r="W5" s="399">
        <v>2041</v>
      </c>
      <c r="X5" s="400">
        <v>2042</v>
      </c>
      <c r="Y5" s="399">
        <v>2043</v>
      </c>
      <c r="Z5" s="399">
        <v>2043</v>
      </c>
      <c r="AA5" s="399">
        <v>2045</v>
      </c>
      <c r="AB5" s="399">
        <v>2046</v>
      </c>
      <c r="AC5" s="399">
        <v>2047</v>
      </c>
    </row>
    <row r="6" spans="1:32" x14ac:dyDescent="0.75">
      <c r="A6" s="67" t="s">
        <v>274</v>
      </c>
      <c r="B6" s="67"/>
      <c r="C6" s="67"/>
      <c r="D6" s="67"/>
    </row>
    <row r="7" spans="1:32" x14ac:dyDescent="0.75">
      <c r="A7" s="326" t="s">
        <v>275</v>
      </c>
      <c r="B7" s="326">
        <v>0</v>
      </c>
      <c r="C7" s="326">
        <v>0</v>
      </c>
      <c r="D7" s="326">
        <v>0</v>
      </c>
      <c r="E7" s="401">
        <v>928</v>
      </c>
      <c r="F7" s="401">
        <v>1238</v>
      </c>
      <c r="G7" s="401">
        <v>1238</v>
      </c>
      <c r="H7" s="401">
        <v>103</v>
      </c>
      <c r="I7" s="401"/>
      <c r="J7" s="401"/>
      <c r="K7" s="401"/>
      <c r="L7" s="401"/>
      <c r="M7" s="401"/>
      <c r="N7" s="401"/>
      <c r="O7" s="401"/>
      <c r="P7" s="401"/>
      <c r="Q7" s="401"/>
      <c r="R7" s="401"/>
      <c r="S7" s="401"/>
      <c r="T7" s="401"/>
      <c r="U7" s="401"/>
      <c r="V7" s="401"/>
      <c r="W7" s="401"/>
      <c r="X7" s="402"/>
      <c r="Y7" s="401"/>
      <c r="Z7" s="401"/>
      <c r="AA7" s="401"/>
      <c r="AB7" s="401"/>
      <c r="AC7" s="403"/>
      <c r="AD7" s="399"/>
      <c r="AE7" s="399"/>
      <c r="AF7" s="399"/>
    </row>
    <row r="8" spans="1:32" x14ac:dyDescent="0.75">
      <c r="A8" s="67"/>
      <c r="B8" s="67"/>
      <c r="C8" s="67"/>
      <c r="D8" s="67"/>
      <c r="E8" s="401"/>
      <c r="F8" s="401"/>
      <c r="G8" s="401"/>
      <c r="H8" s="401"/>
      <c r="I8" s="401"/>
      <c r="J8" s="401"/>
      <c r="K8" s="401"/>
      <c r="L8" s="401"/>
      <c r="M8" s="401"/>
      <c r="N8" s="401"/>
      <c r="O8" s="401"/>
      <c r="P8" s="401"/>
      <c r="Q8" s="401"/>
      <c r="R8" s="401"/>
      <c r="S8" s="401"/>
      <c r="T8" s="401"/>
      <c r="U8" s="401"/>
      <c r="V8" s="401"/>
      <c r="W8" s="401"/>
      <c r="X8" s="402"/>
      <c r="Y8" s="401"/>
      <c r="Z8" s="401"/>
      <c r="AA8" s="401"/>
      <c r="AB8" s="401"/>
      <c r="AC8" s="403"/>
      <c r="AD8" s="399"/>
      <c r="AE8" s="399"/>
      <c r="AF8" s="399"/>
    </row>
    <row r="9" spans="1:32" x14ac:dyDescent="0.75">
      <c r="A9" s="404" t="s">
        <v>276</v>
      </c>
      <c r="B9" s="404"/>
      <c r="C9" s="404"/>
      <c r="D9" s="404"/>
      <c r="E9" s="401"/>
      <c r="F9" s="401"/>
      <c r="G9" s="401"/>
      <c r="H9" s="401"/>
      <c r="I9" s="401"/>
      <c r="J9" s="401"/>
      <c r="K9" s="401"/>
      <c r="L9" s="401"/>
      <c r="M9" s="401"/>
      <c r="N9" s="401"/>
      <c r="O9" s="401"/>
      <c r="P9" s="401"/>
      <c r="Q9" s="401"/>
      <c r="R9" s="401"/>
      <c r="S9" s="401"/>
      <c r="T9" s="401"/>
      <c r="U9" s="401"/>
      <c r="V9" s="401"/>
      <c r="W9" s="401"/>
      <c r="X9" s="402"/>
      <c r="Y9" s="401"/>
      <c r="Z9" s="401"/>
      <c r="AA9" s="401"/>
      <c r="AB9" s="401"/>
      <c r="AC9" s="403"/>
      <c r="AD9" s="399"/>
      <c r="AE9" s="399"/>
      <c r="AF9" s="399"/>
    </row>
    <row r="10" spans="1:32" x14ac:dyDescent="0.75">
      <c r="A10" s="326" t="s">
        <v>275</v>
      </c>
      <c r="B10" s="326">
        <v>0</v>
      </c>
      <c r="C10" s="326">
        <v>0</v>
      </c>
      <c r="D10" s="326">
        <v>0</v>
      </c>
      <c r="E10" s="401">
        <v>7386</v>
      </c>
      <c r="F10" s="401">
        <v>4154</v>
      </c>
      <c r="G10" s="401"/>
      <c r="H10" s="401"/>
      <c r="I10" s="401"/>
      <c r="J10" s="401"/>
      <c r="K10" s="401"/>
      <c r="L10" s="401"/>
      <c r="M10" s="401"/>
      <c r="N10" s="401"/>
      <c r="O10" s="401"/>
      <c r="P10" s="401"/>
      <c r="Q10" s="401"/>
      <c r="R10" s="401"/>
      <c r="S10" s="401"/>
      <c r="T10" s="401"/>
      <c r="U10" s="401"/>
      <c r="V10" s="401"/>
      <c r="W10" s="401"/>
      <c r="X10" s="402"/>
      <c r="Y10" s="401"/>
      <c r="Z10" s="401"/>
      <c r="AA10" s="401"/>
      <c r="AB10" s="401"/>
      <c r="AC10" s="403"/>
      <c r="AD10" s="399"/>
      <c r="AE10" s="399"/>
      <c r="AF10" s="399"/>
    </row>
    <row r="11" spans="1:32" x14ac:dyDescent="0.75">
      <c r="A11" s="326" t="s">
        <v>277</v>
      </c>
      <c r="B11" s="326">
        <v>0</v>
      </c>
      <c r="C11" s="326">
        <v>0</v>
      </c>
      <c r="D11" s="326">
        <v>0</v>
      </c>
      <c r="E11" s="405"/>
      <c r="F11" s="405"/>
      <c r="G11" s="403">
        <v>0</v>
      </c>
      <c r="H11" s="403">
        <v>0</v>
      </c>
      <c r="I11" s="403">
        <v>0</v>
      </c>
      <c r="J11" s="403">
        <v>0</v>
      </c>
      <c r="K11" s="403">
        <v>0</v>
      </c>
      <c r="L11" s="403">
        <v>0</v>
      </c>
      <c r="M11" s="403">
        <v>0</v>
      </c>
      <c r="N11" s="403">
        <v>0</v>
      </c>
      <c r="O11" s="403">
        <v>0</v>
      </c>
      <c r="P11" s="403">
        <v>0</v>
      </c>
      <c r="Q11" s="406">
        <v>0.5</v>
      </c>
      <c r="R11" s="406">
        <v>0.5</v>
      </c>
      <c r="S11" s="406">
        <v>0.5</v>
      </c>
      <c r="T11" s="406">
        <v>0.5</v>
      </c>
      <c r="U11" s="406">
        <v>0.5</v>
      </c>
      <c r="V11" s="406">
        <v>0.5</v>
      </c>
      <c r="W11" s="406">
        <v>1</v>
      </c>
      <c r="X11" s="407">
        <v>1</v>
      </c>
      <c r="Y11" s="406">
        <v>1</v>
      </c>
      <c r="Z11" s="406">
        <v>1</v>
      </c>
      <c r="AA11" s="406">
        <v>1</v>
      </c>
      <c r="AB11" s="406">
        <v>1</v>
      </c>
      <c r="AC11" s="403">
        <v>1</v>
      </c>
      <c r="AD11" s="399"/>
      <c r="AE11" s="399"/>
      <c r="AF11" s="399"/>
    </row>
    <row r="12" spans="1:32" x14ac:dyDescent="0.75">
      <c r="A12" s="326" t="s">
        <v>278</v>
      </c>
      <c r="B12" s="326">
        <v>0</v>
      </c>
      <c r="C12" s="326">
        <v>0</v>
      </c>
      <c r="D12" s="326">
        <v>0</v>
      </c>
      <c r="E12" s="401"/>
      <c r="F12" s="401"/>
      <c r="G12" s="401">
        <f>11540*G11/100</f>
        <v>0</v>
      </c>
      <c r="H12" s="401">
        <f t="shared" ref="H12:AC12" si="0">11540*H11/100</f>
        <v>0</v>
      </c>
      <c r="I12" s="401">
        <f t="shared" si="0"/>
        <v>0</v>
      </c>
      <c r="J12" s="401">
        <f t="shared" si="0"/>
        <v>0</v>
      </c>
      <c r="K12" s="401">
        <f t="shared" si="0"/>
        <v>0</v>
      </c>
      <c r="L12" s="401">
        <f t="shared" si="0"/>
        <v>0</v>
      </c>
      <c r="M12" s="401">
        <f t="shared" si="0"/>
        <v>0</v>
      </c>
      <c r="N12" s="401">
        <f t="shared" si="0"/>
        <v>0</v>
      </c>
      <c r="O12" s="401">
        <f t="shared" si="0"/>
        <v>0</v>
      </c>
      <c r="P12" s="401">
        <f t="shared" si="0"/>
        <v>0</v>
      </c>
      <c r="Q12" s="401">
        <f t="shared" si="0"/>
        <v>57.7</v>
      </c>
      <c r="R12" s="401">
        <f t="shared" si="0"/>
        <v>57.7</v>
      </c>
      <c r="S12" s="401">
        <f t="shared" si="0"/>
        <v>57.7</v>
      </c>
      <c r="T12" s="401">
        <f t="shared" si="0"/>
        <v>57.7</v>
      </c>
      <c r="U12" s="401">
        <f t="shared" si="0"/>
        <v>57.7</v>
      </c>
      <c r="V12" s="401">
        <f t="shared" si="0"/>
        <v>57.7</v>
      </c>
      <c r="W12" s="401">
        <f t="shared" si="0"/>
        <v>115.4</v>
      </c>
      <c r="X12" s="402">
        <f t="shared" si="0"/>
        <v>115.4</v>
      </c>
      <c r="Y12" s="401">
        <f t="shared" si="0"/>
        <v>115.4</v>
      </c>
      <c r="Z12" s="401">
        <f t="shared" si="0"/>
        <v>115.4</v>
      </c>
      <c r="AA12" s="401">
        <f t="shared" si="0"/>
        <v>115.4</v>
      </c>
      <c r="AB12" s="401">
        <f t="shared" si="0"/>
        <v>115.4</v>
      </c>
      <c r="AC12" s="401">
        <f t="shared" si="0"/>
        <v>115.4</v>
      </c>
      <c r="AD12" s="399"/>
      <c r="AE12" s="399"/>
      <c r="AF12" s="399"/>
    </row>
    <row r="13" spans="1:32" x14ac:dyDescent="0.75">
      <c r="E13" s="401"/>
      <c r="F13" s="401"/>
      <c r="G13" s="401"/>
      <c r="H13" s="401"/>
      <c r="I13" s="401"/>
      <c r="J13" s="401"/>
      <c r="K13" s="401"/>
      <c r="L13" s="401"/>
      <c r="M13" s="401"/>
      <c r="N13" s="401"/>
      <c r="O13" s="401"/>
      <c r="P13" s="401"/>
      <c r="Q13" s="401"/>
      <c r="R13" s="401"/>
      <c r="S13" s="401"/>
      <c r="T13" s="401"/>
      <c r="U13" s="401"/>
      <c r="V13" s="401"/>
      <c r="W13" s="401"/>
      <c r="X13" s="402"/>
      <c r="Y13" s="401"/>
      <c r="Z13" s="401"/>
      <c r="AA13" s="401"/>
      <c r="AB13" s="401"/>
      <c r="AC13" s="403"/>
      <c r="AD13" s="399"/>
      <c r="AE13" s="399"/>
      <c r="AF13" s="399"/>
    </row>
    <row r="14" spans="1:32" x14ac:dyDescent="0.75">
      <c r="A14" s="404" t="s">
        <v>279</v>
      </c>
      <c r="B14" s="404"/>
      <c r="C14" s="404"/>
      <c r="D14" s="404"/>
      <c r="E14" s="401"/>
      <c r="F14" s="401"/>
      <c r="G14" s="401"/>
      <c r="H14" s="401"/>
      <c r="I14" s="401"/>
      <c r="J14" s="401"/>
      <c r="K14" s="401"/>
      <c r="L14" s="401"/>
      <c r="M14" s="401"/>
      <c r="N14" s="401"/>
      <c r="O14" s="401"/>
      <c r="P14" s="401"/>
      <c r="Q14" s="401"/>
      <c r="R14" s="401"/>
      <c r="S14" s="401"/>
      <c r="T14" s="401"/>
      <c r="U14" s="401"/>
      <c r="V14" s="401"/>
      <c r="W14" s="401"/>
      <c r="X14" s="402"/>
      <c r="Y14" s="401"/>
      <c r="Z14" s="401"/>
      <c r="AA14" s="401"/>
      <c r="AB14" s="401"/>
      <c r="AC14" s="403"/>
      <c r="AD14" s="399"/>
      <c r="AE14" s="399"/>
      <c r="AF14" s="399"/>
    </row>
    <row r="15" spans="1:32" x14ac:dyDescent="0.75">
      <c r="A15" s="326" t="s">
        <v>275</v>
      </c>
      <c r="B15" s="326">
        <v>0</v>
      </c>
      <c r="C15" s="326">
        <v>0</v>
      </c>
      <c r="D15" s="326">
        <v>0</v>
      </c>
      <c r="E15" s="401">
        <v>3360</v>
      </c>
      <c r="F15" s="401">
        <v>13442</v>
      </c>
      <c r="G15" s="401">
        <v>1109</v>
      </c>
      <c r="H15" s="401"/>
      <c r="I15" s="401"/>
      <c r="J15" s="401"/>
      <c r="K15" s="401"/>
      <c r="L15" s="401"/>
      <c r="M15" s="401"/>
      <c r="N15" s="401"/>
      <c r="O15" s="401"/>
      <c r="P15" s="401"/>
      <c r="Q15" s="401"/>
      <c r="R15" s="401"/>
      <c r="S15" s="401"/>
      <c r="T15" s="401"/>
      <c r="U15" s="401"/>
      <c r="V15" s="401"/>
      <c r="W15" s="401"/>
      <c r="X15" s="402"/>
      <c r="Y15" s="401"/>
      <c r="Z15" s="401"/>
      <c r="AA15" s="401"/>
      <c r="AB15" s="401"/>
      <c r="AC15" s="403"/>
      <c r="AD15" s="399"/>
      <c r="AE15" s="399"/>
      <c r="AF15" s="399"/>
    </row>
    <row r="16" spans="1:32" x14ac:dyDescent="0.75">
      <c r="E16" s="401"/>
      <c r="F16" s="401"/>
      <c r="G16" s="401"/>
      <c r="H16" s="401"/>
      <c r="I16" s="401"/>
      <c r="J16" s="401"/>
      <c r="K16" s="401"/>
      <c r="L16" s="401"/>
      <c r="M16" s="401"/>
      <c r="N16" s="401"/>
      <c r="O16" s="401"/>
      <c r="P16" s="401"/>
      <c r="Q16" s="401"/>
      <c r="R16" s="401"/>
      <c r="S16" s="401"/>
      <c r="T16" s="401"/>
      <c r="U16" s="401"/>
      <c r="V16" s="401"/>
      <c r="W16" s="401"/>
      <c r="X16" s="402"/>
      <c r="Y16" s="401"/>
      <c r="Z16" s="401"/>
      <c r="AA16" s="401"/>
      <c r="AB16" s="401"/>
      <c r="AC16" s="403"/>
      <c r="AD16" s="399"/>
      <c r="AE16" s="399"/>
      <c r="AF16" s="399"/>
    </row>
    <row r="17" spans="1:32" x14ac:dyDescent="0.75">
      <c r="A17" s="404" t="s">
        <v>280</v>
      </c>
      <c r="B17" s="404"/>
      <c r="C17" s="404"/>
      <c r="D17" s="404"/>
      <c r="E17" s="401"/>
      <c r="F17" s="401"/>
      <c r="G17" s="401"/>
      <c r="H17" s="401"/>
      <c r="I17" s="401"/>
      <c r="J17" s="401"/>
      <c r="K17" s="401"/>
      <c r="L17" s="401"/>
      <c r="M17" s="401"/>
      <c r="N17" s="401"/>
      <c r="O17" s="401"/>
      <c r="P17" s="401"/>
      <c r="Q17" s="401"/>
      <c r="R17" s="401"/>
      <c r="S17" s="401"/>
      <c r="T17" s="401"/>
      <c r="U17" s="401"/>
      <c r="V17" s="401"/>
      <c r="W17" s="401"/>
      <c r="X17" s="402"/>
      <c r="Y17" s="401"/>
      <c r="Z17" s="401"/>
      <c r="AA17" s="401"/>
      <c r="AB17" s="401"/>
      <c r="AC17" s="403"/>
      <c r="AD17" s="399"/>
      <c r="AE17" s="399"/>
      <c r="AF17" s="399"/>
    </row>
    <row r="18" spans="1:32" x14ac:dyDescent="0.75">
      <c r="A18" s="326" t="s">
        <v>275</v>
      </c>
      <c r="B18" s="326">
        <v>0</v>
      </c>
      <c r="C18" s="326">
        <v>0</v>
      </c>
      <c r="D18" s="326">
        <v>0</v>
      </c>
      <c r="E18" s="401"/>
      <c r="F18" s="401">
        <v>8532</v>
      </c>
      <c r="G18" s="401">
        <v>25676</v>
      </c>
      <c r="H18" s="401">
        <v>2138</v>
      </c>
      <c r="I18" s="401"/>
      <c r="J18" s="401"/>
      <c r="K18" s="401"/>
      <c r="L18" s="401"/>
      <c r="M18" s="401"/>
      <c r="N18" s="401"/>
      <c r="O18" s="401"/>
      <c r="P18" s="401"/>
      <c r="Q18" s="401"/>
      <c r="R18" s="401"/>
      <c r="S18" s="401"/>
      <c r="T18" s="401"/>
      <c r="U18" s="401"/>
      <c r="V18" s="401"/>
      <c r="W18" s="401"/>
      <c r="X18" s="402"/>
      <c r="Y18" s="401"/>
      <c r="Z18" s="401"/>
      <c r="AA18" s="401"/>
      <c r="AB18" s="401"/>
      <c r="AC18" s="403"/>
      <c r="AD18" s="399"/>
      <c r="AE18" s="399"/>
      <c r="AF18" s="399"/>
    </row>
    <row r="19" spans="1:32" x14ac:dyDescent="0.75">
      <c r="A19" s="326" t="s">
        <v>277</v>
      </c>
      <c r="B19" s="326"/>
      <c r="C19" s="326"/>
      <c r="D19" s="326"/>
      <c r="E19" s="401"/>
      <c r="F19" s="401"/>
      <c r="G19" s="401"/>
      <c r="H19" s="401"/>
      <c r="I19" s="403">
        <v>0</v>
      </c>
      <c r="J19" s="403">
        <v>0</v>
      </c>
      <c r="K19" s="403">
        <v>0</v>
      </c>
      <c r="L19" s="403">
        <v>0</v>
      </c>
      <c r="M19" s="403">
        <v>0</v>
      </c>
      <c r="N19" s="403">
        <v>0.25</v>
      </c>
      <c r="O19" s="403">
        <v>0.25</v>
      </c>
      <c r="P19" s="403">
        <v>0.25</v>
      </c>
      <c r="Q19" s="403">
        <v>0.25</v>
      </c>
      <c r="R19" s="403">
        <v>0.25</v>
      </c>
      <c r="S19" s="403">
        <v>0.5</v>
      </c>
      <c r="T19" s="403">
        <v>0.5</v>
      </c>
      <c r="U19" s="403">
        <v>0.5</v>
      </c>
      <c r="V19" s="403">
        <v>0.5</v>
      </c>
      <c r="W19" s="403">
        <v>0.5</v>
      </c>
      <c r="X19" s="408">
        <v>0.5</v>
      </c>
      <c r="Y19" s="403">
        <v>1</v>
      </c>
      <c r="Z19" s="403">
        <v>1</v>
      </c>
      <c r="AA19" s="403">
        <v>1</v>
      </c>
      <c r="AB19" s="403">
        <v>1</v>
      </c>
      <c r="AC19" s="403">
        <v>1</v>
      </c>
      <c r="AD19" s="399"/>
      <c r="AE19" s="399"/>
      <c r="AF19" s="399"/>
    </row>
    <row r="20" spans="1:32" x14ac:dyDescent="0.75">
      <c r="A20" s="326" t="s">
        <v>278</v>
      </c>
      <c r="B20" s="326"/>
      <c r="C20" s="326"/>
      <c r="D20" s="326"/>
      <c r="E20" s="401"/>
      <c r="F20" s="401"/>
      <c r="G20" s="401"/>
      <c r="H20" s="401"/>
      <c r="I20" s="401">
        <f>36346*I19/100</f>
        <v>0</v>
      </c>
      <c r="J20" s="401">
        <f t="shared" ref="J20:AC20" si="1">36346*J19/100</f>
        <v>0</v>
      </c>
      <c r="K20" s="401">
        <f t="shared" si="1"/>
        <v>0</v>
      </c>
      <c r="L20" s="401">
        <f t="shared" si="1"/>
        <v>0</v>
      </c>
      <c r="M20" s="401">
        <f t="shared" si="1"/>
        <v>0</v>
      </c>
      <c r="N20" s="401">
        <f t="shared" si="1"/>
        <v>90.864999999999995</v>
      </c>
      <c r="O20" s="401">
        <f t="shared" si="1"/>
        <v>90.864999999999995</v>
      </c>
      <c r="P20" s="401">
        <f t="shared" si="1"/>
        <v>90.864999999999995</v>
      </c>
      <c r="Q20" s="401">
        <f t="shared" si="1"/>
        <v>90.864999999999995</v>
      </c>
      <c r="R20" s="401">
        <f t="shared" si="1"/>
        <v>90.864999999999995</v>
      </c>
      <c r="S20" s="401">
        <f t="shared" si="1"/>
        <v>181.73</v>
      </c>
      <c r="T20" s="401">
        <f t="shared" si="1"/>
        <v>181.73</v>
      </c>
      <c r="U20" s="401">
        <f t="shared" si="1"/>
        <v>181.73</v>
      </c>
      <c r="V20" s="401">
        <f t="shared" si="1"/>
        <v>181.73</v>
      </c>
      <c r="W20" s="401">
        <f t="shared" si="1"/>
        <v>181.73</v>
      </c>
      <c r="X20" s="402">
        <f t="shared" si="1"/>
        <v>181.73</v>
      </c>
      <c r="Y20" s="401">
        <f t="shared" si="1"/>
        <v>363.46</v>
      </c>
      <c r="Z20" s="401">
        <f t="shared" si="1"/>
        <v>363.46</v>
      </c>
      <c r="AA20" s="401">
        <f t="shared" si="1"/>
        <v>363.46</v>
      </c>
      <c r="AB20" s="401">
        <f t="shared" si="1"/>
        <v>363.46</v>
      </c>
      <c r="AC20" s="401">
        <f t="shared" si="1"/>
        <v>363.46</v>
      </c>
      <c r="AD20" s="399"/>
      <c r="AE20" s="399"/>
      <c r="AF20" s="399"/>
    </row>
    <row r="21" spans="1:32" x14ac:dyDescent="0.75">
      <c r="E21" s="401"/>
      <c r="F21" s="401"/>
      <c r="G21" s="401"/>
      <c r="H21" s="401"/>
      <c r="I21" s="401"/>
      <c r="J21" s="401"/>
      <c r="K21" s="401"/>
      <c r="L21" s="401"/>
      <c r="M21" s="401"/>
      <c r="N21" s="401"/>
      <c r="O21" s="401"/>
      <c r="P21" s="401"/>
      <c r="Q21" s="401"/>
      <c r="R21" s="401"/>
      <c r="S21" s="401"/>
      <c r="T21" s="401"/>
      <c r="U21" s="401"/>
      <c r="V21" s="401"/>
      <c r="W21" s="401"/>
      <c r="X21" s="402"/>
      <c r="Y21" s="401"/>
      <c r="Z21" s="401"/>
      <c r="AA21" s="401"/>
      <c r="AB21" s="401"/>
      <c r="AC21" s="403"/>
      <c r="AD21" s="399"/>
      <c r="AE21" s="399"/>
      <c r="AF21" s="399"/>
    </row>
    <row r="22" spans="1:32" x14ac:dyDescent="0.75">
      <c r="A22" s="409" t="s">
        <v>281</v>
      </c>
      <c r="B22" s="409">
        <v>0</v>
      </c>
      <c r="C22" s="409">
        <v>0</v>
      </c>
      <c r="D22" s="409">
        <v>0</v>
      </c>
      <c r="E22" s="401">
        <f>E7+E10+E12+E15+E18+E20</f>
        <v>11674</v>
      </c>
      <c r="F22" s="401">
        <f t="shared" ref="F22:AC22" si="2">F7+F10+F12+F15+F18+F20</f>
        <v>27366</v>
      </c>
      <c r="G22" s="401">
        <f t="shared" si="2"/>
        <v>28023</v>
      </c>
      <c r="H22" s="401">
        <f t="shared" si="2"/>
        <v>2241</v>
      </c>
      <c r="I22" s="401">
        <f t="shared" si="2"/>
        <v>0</v>
      </c>
      <c r="J22" s="401">
        <f t="shared" si="2"/>
        <v>0</v>
      </c>
      <c r="K22" s="401">
        <f t="shared" si="2"/>
        <v>0</v>
      </c>
      <c r="L22" s="401">
        <f t="shared" si="2"/>
        <v>0</v>
      </c>
      <c r="M22" s="401">
        <f t="shared" si="2"/>
        <v>0</v>
      </c>
      <c r="N22" s="401">
        <f t="shared" si="2"/>
        <v>90.864999999999995</v>
      </c>
      <c r="O22" s="401">
        <f t="shared" si="2"/>
        <v>90.864999999999995</v>
      </c>
      <c r="P22" s="401">
        <f t="shared" si="2"/>
        <v>90.864999999999995</v>
      </c>
      <c r="Q22" s="401">
        <f t="shared" si="2"/>
        <v>148.565</v>
      </c>
      <c r="R22" s="401">
        <f t="shared" si="2"/>
        <v>148.565</v>
      </c>
      <c r="S22" s="401">
        <f t="shared" si="2"/>
        <v>239.43</v>
      </c>
      <c r="T22" s="401">
        <f t="shared" si="2"/>
        <v>239.43</v>
      </c>
      <c r="U22" s="401">
        <f t="shared" si="2"/>
        <v>239.43</v>
      </c>
      <c r="V22" s="401">
        <f t="shared" si="2"/>
        <v>239.43</v>
      </c>
      <c r="W22" s="401">
        <f t="shared" si="2"/>
        <v>297.13</v>
      </c>
      <c r="X22" s="402">
        <f t="shared" si="2"/>
        <v>297.13</v>
      </c>
      <c r="Y22" s="401">
        <f t="shared" si="2"/>
        <v>478.86</v>
      </c>
      <c r="Z22" s="401">
        <f t="shared" si="2"/>
        <v>478.86</v>
      </c>
      <c r="AA22" s="401">
        <f t="shared" si="2"/>
        <v>478.86</v>
      </c>
      <c r="AB22" s="401">
        <f t="shared" si="2"/>
        <v>478.86</v>
      </c>
      <c r="AC22" s="401">
        <f t="shared" si="2"/>
        <v>478.86</v>
      </c>
      <c r="AD22" s="399"/>
      <c r="AE22" s="399"/>
      <c r="AF22" s="399"/>
    </row>
    <row r="23" spans="1:32" x14ac:dyDescent="0.75">
      <c r="F23" s="399"/>
      <c r="G23" s="401"/>
      <c r="H23" s="401"/>
      <c r="I23" s="401"/>
      <c r="J23" s="401"/>
      <c r="K23" s="401"/>
      <c r="L23" s="401"/>
      <c r="M23" s="401"/>
      <c r="N23" s="401"/>
      <c r="O23" s="401"/>
      <c r="P23" s="401"/>
      <c r="Q23" s="401"/>
      <c r="R23" s="401"/>
      <c r="S23" s="401"/>
      <c r="T23" s="401"/>
      <c r="U23" s="401"/>
      <c r="V23" s="401"/>
      <c r="W23" s="401"/>
      <c r="X23" s="402"/>
      <c r="Y23" s="401"/>
      <c r="Z23" s="401"/>
      <c r="AA23" s="401"/>
      <c r="AB23" s="401"/>
      <c r="AC23" s="403"/>
      <c r="AD23" s="399"/>
      <c r="AE23" s="399"/>
      <c r="AF23" s="399"/>
    </row>
    <row r="24" spans="1:32" x14ac:dyDescent="0.75">
      <c r="A24" t="s">
        <v>282</v>
      </c>
      <c r="F24" s="399"/>
      <c r="G24" s="401"/>
      <c r="H24" s="401"/>
      <c r="I24" s="401"/>
      <c r="J24" s="401"/>
      <c r="K24" s="401"/>
      <c r="L24" s="401"/>
      <c r="M24" s="401"/>
      <c r="N24" s="401"/>
      <c r="O24" s="401"/>
      <c r="P24" s="401"/>
      <c r="Q24" s="401"/>
      <c r="R24" s="401"/>
      <c r="S24" s="401"/>
      <c r="T24" s="401"/>
      <c r="U24" s="401"/>
      <c r="V24" s="401"/>
      <c r="W24" s="401"/>
      <c r="X24" s="402"/>
      <c r="Y24" s="401"/>
      <c r="Z24" s="401"/>
      <c r="AA24" s="401"/>
      <c r="AB24" s="401"/>
      <c r="AC24" s="403"/>
      <c r="AD24" s="399"/>
      <c r="AE24" s="399"/>
      <c r="AF24" s="399"/>
    </row>
    <row r="25" spans="1:32" x14ac:dyDescent="0.75">
      <c r="A25" s="69">
        <f>(NPV(0.07,C22:X22)+B22)*1000</f>
        <v>52511137.914272271</v>
      </c>
      <c r="F25" s="399"/>
      <c r="G25" s="401"/>
      <c r="H25" s="401"/>
      <c r="I25" s="401"/>
      <c r="J25" s="401"/>
      <c r="K25" s="401"/>
      <c r="L25" s="401"/>
      <c r="M25" s="401"/>
      <c r="N25" s="401"/>
      <c r="O25" s="401"/>
      <c r="P25" s="401"/>
      <c r="Q25" s="401"/>
      <c r="R25" s="401"/>
      <c r="S25" s="401"/>
      <c r="T25" s="401"/>
      <c r="U25" s="401"/>
      <c r="V25" s="401"/>
      <c r="W25" s="401"/>
      <c r="X25" s="402"/>
      <c r="Y25" s="401"/>
      <c r="Z25" s="401"/>
      <c r="AA25" s="401"/>
      <c r="AB25" s="401"/>
      <c r="AC25" s="403"/>
      <c r="AD25" s="399"/>
      <c r="AE25" s="399"/>
      <c r="AF25" s="399"/>
    </row>
    <row r="26" spans="1:32" x14ac:dyDescent="0.75">
      <c r="A26" s="71"/>
      <c r="F26" s="399"/>
      <c r="G26" s="401"/>
      <c r="H26" s="401"/>
      <c r="I26" s="401"/>
      <c r="J26" s="401"/>
      <c r="K26" s="401"/>
      <c r="L26" s="401"/>
      <c r="M26" s="401"/>
      <c r="N26" s="401"/>
      <c r="O26" s="401"/>
      <c r="P26" s="401"/>
      <c r="Q26" s="401"/>
      <c r="R26" s="401"/>
      <c r="S26" s="401"/>
      <c r="T26" s="401"/>
      <c r="U26" s="401"/>
      <c r="V26" s="401"/>
      <c r="W26" s="401"/>
      <c r="X26" s="402"/>
      <c r="Y26" s="401"/>
      <c r="Z26" s="401"/>
      <c r="AA26" s="401"/>
      <c r="AB26" s="401"/>
      <c r="AC26" s="403"/>
      <c r="AD26" s="399"/>
      <c r="AE26" s="399"/>
      <c r="AF26" s="399"/>
    </row>
    <row r="27" spans="1:32" x14ac:dyDescent="0.75">
      <c r="F27" s="399"/>
      <c r="G27" s="401"/>
      <c r="H27" s="401"/>
      <c r="I27" s="401"/>
      <c r="J27" s="401"/>
      <c r="K27" s="401"/>
      <c r="L27" s="401"/>
      <c r="M27" s="401"/>
      <c r="N27" s="401"/>
      <c r="O27" s="401"/>
      <c r="P27" s="401"/>
      <c r="Q27" s="401"/>
      <c r="R27" s="401"/>
      <c r="S27" s="401"/>
      <c r="T27" s="401"/>
      <c r="U27" s="401"/>
      <c r="V27" s="401"/>
      <c r="W27" s="401"/>
      <c r="X27" s="402"/>
      <c r="Y27" s="401"/>
      <c r="Z27" s="401"/>
      <c r="AA27" s="401"/>
      <c r="AB27" s="401"/>
      <c r="AC27" s="403"/>
      <c r="AD27" s="399"/>
      <c r="AE27" s="399"/>
      <c r="AF27" s="399"/>
    </row>
    <row r="28" spans="1:32" x14ac:dyDescent="0.75">
      <c r="F28" s="399"/>
      <c r="G28" s="401"/>
      <c r="H28" s="401"/>
      <c r="I28" s="401"/>
      <c r="J28" s="401"/>
      <c r="K28" s="401"/>
      <c r="L28" s="401"/>
      <c r="M28" s="401"/>
      <c r="N28" s="401"/>
      <c r="O28" s="401"/>
      <c r="P28" s="401"/>
      <c r="Q28" s="401"/>
      <c r="R28" s="401"/>
      <c r="S28" s="401"/>
      <c r="T28" s="401"/>
      <c r="U28" s="401"/>
      <c r="V28" s="401"/>
      <c r="W28" s="401"/>
      <c r="X28" s="402"/>
      <c r="Y28" s="401"/>
      <c r="Z28" s="401"/>
      <c r="AA28" s="401"/>
      <c r="AB28" s="401"/>
      <c r="AC28" s="403"/>
      <c r="AD28" s="399"/>
      <c r="AE28" s="399"/>
      <c r="AF28" s="399"/>
    </row>
    <row r="29" spans="1:32" x14ac:dyDescent="0.75">
      <c r="G29" s="71"/>
      <c r="H29" s="71"/>
      <c r="I29" s="71"/>
      <c r="J29" s="71"/>
      <c r="K29" s="71"/>
      <c r="L29" s="71"/>
      <c r="M29" s="71"/>
      <c r="N29" s="71"/>
      <c r="O29" s="71"/>
      <c r="P29" s="71"/>
      <c r="Q29" s="71"/>
      <c r="R29" s="71"/>
      <c r="S29" s="71"/>
      <c r="T29" s="71"/>
      <c r="U29" s="71"/>
      <c r="V29" s="71"/>
      <c r="W29" s="71"/>
      <c r="X29" s="410"/>
      <c r="Y29" s="71"/>
      <c r="Z29" s="71"/>
      <c r="AA29" s="71"/>
      <c r="AB29" s="71"/>
      <c r="AC29" s="362"/>
    </row>
    <row r="30" spans="1:32" x14ac:dyDescent="0.75">
      <c r="G30" s="71"/>
      <c r="H30" s="71"/>
      <c r="I30" s="71"/>
      <c r="J30" s="71"/>
      <c r="K30" s="71"/>
      <c r="L30" s="71"/>
      <c r="M30" s="71"/>
      <c r="N30" s="71"/>
      <c r="O30" s="71"/>
      <c r="P30" s="71"/>
      <c r="Q30" s="71"/>
      <c r="R30" s="71"/>
      <c r="S30" s="71"/>
      <c r="T30" s="71"/>
      <c r="U30" s="71"/>
      <c r="V30" s="71"/>
      <c r="W30" s="71"/>
      <c r="X30" s="410"/>
      <c r="Y30" s="71"/>
      <c r="Z30" s="71"/>
      <c r="AA30" s="71"/>
      <c r="AB30" s="71"/>
      <c r="AC30" s="362"/>
    </row>
    <row r="31" spans="1:32" x14ac:dyDescent="0.75">
      <c r="G31" s="71"/>
      <c r="H31" s="71"/>
      <c r="I31" s="71"/>
      <c r="J31" s="71"/>
      <c r="K31" s="71"/>
      <c r="L31" s="71"/>
      <c r="M31" s="71"/>
      <c r="N31" s="71"/>
      <c r="O31" s="71"/>
      <c r="P31" s="71"/>
      <c r="Q31" s="71"/>
      <c r="R31" s="71"/>
      <c r="S31" s="71"/>
      <c r="T31" s="71"/>
      <c r="U31" s="71"/>
      <c r="V31" s="71"/>
      <c r="W31" s="71"/>
      <c r="X31" s="410"/>
      <c r="Y31" s="71"/>
      <c r="Z31" s="71"/>
      <c r="AA31" s="71"/>
      <c r="AB31" s="71"/>
      <c r="AC31" s="362"/>
    </row>
  </sheetData>
  <mergeCells count="2">
    <mergeCell ref="A2:AC2"/>
    <mergeCell ref="A3:A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27B35BEF-C6FC-4405-8161-8742EA4DBBF9" xsi:nil="true"/>
    <Primary_x0020_Audience xmlns="27B35BEF-C6FC-4405-8161-8742EA4DBBF9" xsi:nil="true"/>
    <Project_x0020_Use xmlns="27B35BEF-C6FC-4405-8161-8742EA4DBB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6260E4EA577342B888CF6B6FA6882A" ma:contentTypeVersion="" ma:contentTypeDescription="Create a new document." ma:contentTypeScope="" ma:versionID="56e9536ec30e4661392f87c8705f5aec">
  <xsd:schema xmlns:xsd="http://www.w3.org/2001/XMLSchema" xmlns:xs="http://www.w3.org/2001/XMLSchema" xmlns:p="http://schemas.microsoft.com/office/2006/metadata/properties" xmlns:ns2="27B35BEF-C6FC-4405-8161-8742EA4DBBF9" xmlns:ns3="27b35bef-c6fc-4405-8161-8742ea4dbbf9" xmlns:ns4="80adf729-1c76-441c-837a-1037bc9dd097" targetNamespace="http://schemas.microsoft.com/office/2006/metadata/properties" ma:root="true" ma:fieldsID="8bda1c8e83d4c27b75ad93b6b7351c1a" ns2:_="" ns3:_="" ns4:_="">
    <xsd:import namespace="27B35BEF-C6FC-4405-8161-8742EA4DBBF9"/>
    <xsd:import namespace="27b35bef-c6fc-4405-8161-8742ea4dbbf9"/>
    <xsd:import namespace="80adf729-1c76-441c-837a-1037bc9dd097"/>
    <xsd:element name="properties">
      <xsd:complexType>
        <xsd:sequence>
          <xsd:element name="documentManagement">
            <xsd:complexType>
              <xsd:all>
                <xsd:element ref="ns2:Status" minOccurs="0"/>
                <xsd:element ref="ns2:Project_x0020_Use" minOccurs="0"/>
                <xsd:element ref="ns2:Primary_x0020_Audience" minOccurs="0"/>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35BEF-C6FC-4405-8161-8742EA4DBBF9" elementFormDefault="qualified">
    <xsd:import namespace="http://schemas.microsoft.com/office/2006/documentManagement/types"/>
    <xsd:import namespace="http://schemas.microsoft.com/office/infopath/2007/PartnerControls"/>
    <xsd:element name="Status" ma:index="8" nillable="true" ma:displayName="Status" ma:format="Dropdown" ma:internalName="Status">
      <xsd:simpleType>
        <xsd:union memberTypes="dms:Text">
          <xsd:simpleType>
            <xsd:restriction base="dms:Choice">
              <xsd:enumeration value="NA"/>
              <xsd:enumeration value="Draft"/>
              <xsd:enumeration value="Final submitted"/>
              <xsd:enumeration value="Final client comments"/>
              <xsd:enumeration value="Final approved"/>
            </xsd:restriction>
          </xsd:simpleType>
        </xsd:union>
      </xsd:simpleType>
    </xsd:element>
    <xsd:element name="Project_x0020_Use" ma:index="9" nillable="true" ma:displayName="Project Use" ma:format="Dropdown" ma:internalName="Project_x0020_Use">
      <xsd:simpleType>
        <xsd:restriction base="dms:Choice">
          <xsd:enumeration value="Coordination / management"/>
          <xsd:enumeration value="Meeting / outreach information"/>
          <xsd:enumeration value="Graphic / illustration / concept"/>
          <xsd:enumeration value="Data / analysis / model"/>
          <xsd:enumeration value="Report / paper / memorandum"/>
          <xsd:enumeration value="Background / resource information"/>
          <xsd:enumeration value="Other"/>
        </xsd:restriction>
      </xsd:simpleType>
    </xsd:element>
    <xsd:element name="Primary_x0020_Audience" ma:index="10" nillable="true" ma:displayName="Primary Audience" ma:format="Dropdown" ma:internalName="Primary_x0020_Audience">
      <xsd:simpleType>
        <xsd:restriction base="dms:Choice">
          <xsd:enumeration value="External / public"/>
          <xsd:enumeration value="Client"/>
          <xsd:enumeration value="Project consulting team"/>
          <xsd:enumeration value="Renaissance project team"/>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27b35bef-c6fc-4405-8161-8742ea4dbbf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adf729-1c76-441c-837a-1037bc9dd09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0C812B-5E12-48ED-82FC-0322DF49E17F}">
  <ds:schemaRefs>
    <ds:schemaRef ds:uri="http://schemas.microsoft.com/sharepoint/v3/contenttype/forms"/>
  </ds:schemaRefs>
</ds:datastoreItem>
</file>

<file path=customXml/itemProps2.xml><?xml version="1.0" encoding="utf-8"?>
<ds:datastoreItem xmlns:ds="http://schemas.openxmlformats.org/officeDocument/2006/customXml" ds:itemID="{8F694C5A-1BF7-491C-B578-F8F8EB1A96BD}">
  <ds:schemaRefs>
    <ds:schemaRef ds:uri="http://schemas.microsoft.com/office/2006/documentManagement/types"/>
    <ds:schemaRef ds:uri="27b35bef-c6fc-4405-8161-8742ea4dbbf9"/>
    <ds:schemaRef ds:uri="http://purl.org/dc/elements/1.1/"/>
    <ds:schemaRef ds:uri="http://schemas.microsoft.com/office/infopath/2007/PartnerControls"/>
    <ds:schemaRef ds:uri="http://schemas.openxmlformats.org/package/2006/metadata/core-properties"/>
    <ds:schemaRef ds:uri="80adf729-1c76-441c-837a-1037bc9dd097"/>
    <ds:schemaRef ds:uri="27B35BEF-C6FC-4405-8161-8742EA4DBBF9"/>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95D4806-231E-491D-B3B6-952C27AD99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B35BEF-C6FC-4405-8161-8742EA4DBBF9"/>
    <ds:schemaRef ds:uri="27b35bef-c6fc-4405-8161-8742ea4dbbf9"/>
    <ds:schemaRef ds:uri="80adf729-1c76-441c-837a-1037bc9dd0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Benefits Metrics </vt:lpstr>
      <vt:lpstr>YARD EXPANSION</vt:lpstr>
      <vt:lpstr>BENEFIT COST CALCULATIONS</vt:lpstr>
      <vt:lpstr>COST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martin</dc:creator>
  <cp:lastModifiedBy>john martin</cp:lastModifiedBy>
  <dcterms:created xsi:type="dcterms:W3CDTF">2018-06-12T18:57:17Z</dcterms:created>
  <dcterms:modified xsi:type="dcterms:W3CDTF">2022-05-09T21:57:04Z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0x0101000F6260E4EA577342B888CF6B6FA6882A</vt:lpwstr>
  </property>
</Properties>
</file>